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8_{9D196091-2D39-4819-83E7-BA96866F1972}" xr6:coauthVersionLast="36" xr6:coauthVersionMax="36" xr10:uidLastSave="{00000000-0000-0000-0000-000000000000}"/>
  <workbookProtection workbookAlgorithmName="SHA-512" workbookHashValue="Fesy5RvfwvBpm1WvgOFYkPmjlGlPmbLpQLWsu2Wffddj6AktjhSHkYMSpqHsKMApkpEdYXc5L5kXF3HSw2WzYQ==" workbookSaltValue="jkdIUerN4AiuvDJGWjsRrw==" workbookSpinCount="100000" lockStructure="1"/>
  <bookViews>
    <workbookView xWindow="0" yWindow="0" windowWidth="23040" windowHeight="8625" xr2:uid="{00000000-000D-0000-FFFF-FFFF00000000}"/>
  </bookViews>
  <sheets>
    <sheet name="Deckblatt" sheetId="1" r:id="rId1"/>
    <sheet name="PoC-Antigen-Tests" sheetId="6" r:id="rId2"/>
    <sheet name="Durchführungsaufwendungen" sheetId="8" r:id="rId3"/>
  </sheets>
  <definedNames>
    <definedName name="_xlnm.Print_Area" localSheetId="0">Deckblatt!$A$1:$M$54</definedName>
    <definedName name="_xlnm.Print_Area" localSheetId="2">Durchführungsaufwendungen!$A$1:$M$24</definedName>
    <definedName name="_xlnm.Print_Area" localSheetId="1">'PoC-Antigen-Tests'!$A$1:$N$51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H11" i="8"/>
  <c r="I11" i="8"/>
  <c r="J11" i="8"/>
  <c r="K11" i="8"/>
  <c r="D12" i="8"/>
  <c r="H12" i="8"/>
  <c r="I12" i="8"/>
  <c r="J12" i="8"/>
  <c r="K12" i="8"/>
  <c r="D13" i="8"/>
  <c r="H13" i="8"/>
  <c r="I13" i="8"/>
  <c r="J13" i="8"/>
  <c r="K13" i="8"/>
  <c r="D14" i="8"/>
  <c r="H14" i="8"/>
  <c r="I14" i="8"/>
  <c r="J14" i="8"/>
  <c r="K14" i="8"/>
  <c r="G29" i="6"/>
  <c r="K29" i="6" s="1"/>
  <c r="I29" i="6"/>
  <c r="J29" i="6"/>
  <c r="R30" i="6" s="1"/>
  <c r="P30" i="6" s="1"/>
  <c r="G30" i="6"/>
  <c r="K30" i="6" s="1"/>
  <c r="I30" i="6"/>
  <c r="J30" i="6"/>
  <c r="R31" i="6" s="1"/>
  <c r="P31" i="6" s="1"/>
  <c r="V30" i="6"/>
  <c r="W30" i="6" s="1"/>
  <c r="X30" i="6" s="1"/>
  <c r="G31" i="6"/>
  <c r="K31" i="6" s="1"/>
  <c r="I31" i="6"/>
  <c r="J31" i="6"/>
  <c r="R32" i="6" s="1"/>
  <c r="P32" i="6" s="1"/>
  <c r="G32" i="6"/>
  <c r="K32" i="6" s="1"/>
  <c r="I32" i="6"/>
  <c r="J32" i="6"/>
  <c r="R33" i="6" s="1"/>
  <c r="P33" i="6" s="1"/>
  <c r="G33" i="6"/>
  <c r="K33" i="6" s="1"/>
  <c r="I33" i="6"/>
  <c r="J33" i="6"/>
  <c r="R34" i="6" s="1"/>
  <c r="P34" i="6" s="1"/>
  <c r="G34" i="6"/>
  <c r="K34" i="6" s="1"/>
  <c r="I34" i="6"/>
  <c r="J34" i="6"/>
  <c r="R35" i="6" s="1"/>
  <c r="P35" i="6" s="1"/>
  <c r="V34" i="6"/>
  <c r="W34" i="6" s="1"/>
  <c r="X34" i="6" s="1"/>
  <c r="G35" i="6"/>
  <c r="K35" i="6" s="1"/>
  <c r="I35" i="6"/>
  <c r="J35" i="6"/>
  <c r="R36" i="6" s="1"/>
  <c r="P36" i="6" s="1"/>
  <c r="G36" i="6"/>
  <c r="K36" i="6" s="1"/>
  <c r="I36" i="6"/>
  <c r="J36" i="6"/>
  <c r="R37" i="6" s="1"/>
  <c r="P37" i="6" s="1"/>
  <c r="V36" i="6"/>
  <c r="G37" i="6"/>
  <c r="K37" i="6" s="1"/>
  <c r="I37" i="6"/>
  <c r="J37" i="6"/>
  <c r="R38" i="6" s="1"/>
  <c r="P38" i="6" s="1"/>
  <c r="G38" i="6"/>
  <c r="K38" i="6" s="1"/>
  <c r="I38" i="6"/>
  <c r="J38" i="6"/>
  <c r="R39" i="6" s="1"/>
  <c r="P39" i="6" s="1"/>
  <c r="G39" i="6"/>
  <c r="K39" i="6" s="1"/>
  <c r="I39" i="6"/>
  <c r="J39" i="6"/>
  <c r="R40" i="6" s="1"/>
  <c r="P40" i="6" s="1"/>
  <c r="G40" i="6"/>
  <c r="K40" i="6" s="1"/>
  <c r="I40" i="6"/>
  <c r="J40" i="6"/>
  <c r="R41" i="6" s="1"/>
  <c r="P41" i="6" s="1"/>
  <c r="G41" i="6"/>
  <c r="K41" i="6" s="1"/>
  <c r="I41" i="6"/>
  <c r="J41" i="6"/>
  <c r="R42" i="6" s="1"/>
  <c r="P42" i="6" s="1"/>
  <c r="G42" i="6"/>
  <c r="I42" i="6"/>
  <c r="J42" i="6"/>
  <c r="K42" i="6"/>
  <c r="L11" i="8" l="1"/>
  <c r="M11" i="8" s="1"/>
  <c r="L12" i="8"/>
  <c r="M12" i="8" s="1"/>
  <c r="L14" i="8"/>
  <c r="M14" i="8" s="1"/>
  <c r="V38" i="6"/>
  <c r="W38" i="6" s="1"/>
  <c r="X38" i="6" s="1"/>
  <c r="L13" i="8"/>
  <c r="M13" i="8" s="1"/>
  <c r="K17" i="6"/>
  <c r="V42" i="6" l="1"/>
  <c r="W42" i="6" s="1"/>
  <c r="X42" i="6" s="1"/>
  <c r="D7" i="8"/>
  <c r="D8" i="8"/>
  <c r="D9" i="8"/>
  <c r="D10" i="8"/>
  <c r="D15" i="8"/>
  <c r="D6" i="8"/>
  <c r="P15" i="6" l="1"/>
  <c r="J17" i="6"/>
  <c r="Q6" i="1" l="1"/>
  <c r="R24" i="6" l="1"/>
  <c r="P24" i="6" s="1"/>
  <c r="I28" i="6"/>
  <c r="I27" i="6"/>
  <c r="T16" i="6"/>
  <c r="T15" i="6"/>
  <c r="V28" i="6"/>
  <c r="V32" i="6" s="1"/>
  <c r="W36" i="6" s="1"/>
  <c r="N8" i="6" l="1"/>
  <c r="W28" i="6"/>
  <c r="T17" i="6"/>
  <c r="P8" i="8" s="1"/>
  <c r="P17" i="6"/>
  <c r="J28" i="6"/>
  <c r="R29" i="6" s="1"/>
  <c r="P29" i="6" s="1"/>
  <c r="J27" i="6"/>
  <c r="P16" i="6" l="1"/>
  <c r="R28" i="6"/>
  <c r="P28" i="6" s="1"/>
  <c r="Q8" i="6"/>
  <c r="H10" i="8" l="1"/>
  <c r="K10" i="8"/>
  <c r="K15" i="8"/>
  <c r="J10" i="8"/>
  <c r="J15" i="8"/>
  <c r="H15" i="8"/>
  <c r="L15" i="8" l="1"/>
  <c r="L10" i="8"/>
  <c r="R43" i="6"/>
  <c r="J43" i="6"/>
  <c r="G28" i="6" l="1"/>
  <c r="K28" i="6" s="1"/>
  <c r="G26" i="6"/>
  <c r="G25" i="6"/>
  <c r="G24" i="6"/>
  <c r="I43" i="6"/>
  <c r="Q53" i="1" l="1"/>
  <c r="O8" i="8"/>
  <c r="I10" i="8"/>
  <c r="I15" i="8"/>
  <c r="I24" i="6" l="1"/>
  <c r="K24" i="6" s="1"/>
  <c r="O9" i="8"/>
  <c r="P53" i="1" s="1"/>
  <c r="M10" i="8"/>
  <c r="M15" i="8"/>
  <c r="J24" i="6" l="1"/>
  <c r="R25" i="6" s="1"/>
  <c r="P25" i="6" s="1"/>
  <c r="I25" i="6" s="1"/>
  <c r="G43" i="6"/>
  <c r="K43" i="6" s="1"/>
  <c r="P43" i="6"/>
  <c r="X28" i="6"/>
  <c r="G27" i="6"/>
  <c r="K27" i="6" s="1"/>
  <c r="G17" i="6"/>
  <c r="G16" i="6"/>
  <c r="G15" i="6"/>
  <c r="J25" i="6" l="1"/>
  <c r="K25" i="6"/>
  <c r="S6" i="6"/>
  <c r="N6" i="6" s="1"/>
  <c r="I15" i="6" l="1"/>
  <c r="R26" i="6"/>
  <c r="P26" i="6" s="1"/>
  <c r="I26" i="6" s="1"/>
  <c r="I9" i="8" s="1"/>
  <c r="Q6" i="6"/>
  <c r="J15" i="6" l="1"/>
  <c r="P13" i="6" s="1"/>
  <c r="K15" i="6"/>
  <c r="J26" i="6"/>
  <c r="R27" i="6" s="1"/>
  <c r="P27" i="6" s="1"/>
  <c r="K26" i="6"/>
  <c r="K44" i="6" s="1"/>
  <c r="U20" i="6"/>
  <c r="I16" i="6" s="1"/>
  <c r="U17" i="6"/>
  <c r="I17" i="6"/>
  <c r="K16" i="6" l="1"/>
  <c r="H9" i="8"/>
  <c r="H8" i="8"/>
  <c r="J16" i="6"/>
  <c r="P14" i="6" s="1"/>
  <c r="S16" i="6"/>
  <c r="S17" i="6"/>
  <c r="I6" i="8"/>
  <c r="H6" i="8" l="1"/>
  <c r="J6" i="8" s="1"/>
  <c r="H7" i="8"/>
  <c r="L6" i="8" l="1"/>
  <c r="M6" i="8" s="1"/>
  <c r="K7" i="8"/>
  <c r="I7" i="8"/>
  <c r="P44" i="6"/>
  <c r="K33" i="1" s="1"/>
  <c r="J7" i="8" l="1"/>
  <c r="L7" i="8" s="1"/>
  <c r="M7" i="8" l="1"/>
  <c r="K8" i="8"/>
  <c r="I8" i="8"/>
  <c r="J8" i="8" l="1"/>
  <c r="K9" i="8" s="1"/>
  <c r="J9" i="8"/>
  <c r="L9" i="8" l="1"/>
  <c r="M9" i="8" s="1"/>
  <c r="L8" i="8"/>
  <c r="D16" i="8" s="1"/>
  <c r="M8" i="8" l="1"/>
  <c r="K34" i="1"/>
  <c r="K35" i="1" s="1"/>
</calcChain>
</file>

<file path=xl/sharedStrings.xml><?xml version="1.0" encoding="utf-8"?>
<sst xmlns="http://schemas.openxmlformats.org/spreadsheetml/2006/main" count="135" uniqueCount="121">
  <si>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</si>
  <si>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</si>
  <si>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</si>
  <si>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</si>
  <si>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</si>
  <si>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</si>
  <si>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</si>
  <si>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IK (sofern vorhanden)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</si>
  <si>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</si>
  <si>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</si>
  <si>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</si>
  <si>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</si>
  <si>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</si>
  <si>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</si>
  <si>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Unterschrift (bei elektronischer Geltendmachung in Faksimile)</t>
  </si>
  <si>
    <t>Angebot zur Unterstützung im Alltag</t>
  </si>
  <si>
    <t>bereits erstattet am</t>
  </si>
  <si>
    <t>Zu erstattender Betrag</t>
  </si>
  <si>
    <t>Monate</t>
  </si>
  <si>
    <t>Gelieferte Testmenge
 (in Stück)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</si>
  <si>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</si>
  <si>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</si>
  <si>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</si>
  <si>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</si>
  <si>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</si>
  <si>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</si>
  <si>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</si>
  <si>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</si>
  <si>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</si>
  <si>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</si>
  <si>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</si>
  <si>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</si>
  <si>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</si>
  <si>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Antrag ÖGD</t>
  </si>
  <si>
    <t>Datum Feststellung</t>
  </si>
  <si>
    <t>bis Ende</t>
  </si>
  <si>
    <t>Tage</t>
  </si>
  <si>
    <t>Enddatum 1</t>
  </si>
  <si>
    <t>Enddatum 2</t>
  </si>
  <si>
    <t>Berechnung ab letztem Datum</t>
  </si>
  <si>
    <t>Anzahl der versorgten Pflegebedürftigen
 gemäß Antrag beim ÖGD</t>
  </si>
  <si>
    <t xml:space="preserve">⇒ er Änderungen der der Geltendmachung zugrundeliegenden Sachverhalte unverzüglich der Pflegekasse anzeigt, die den Erstattungsbetrag
    auszahlt. </t>
  </si>
  <si>
    <t>Startdatum 2 frühestens</t>
  </si>
  <si>
    <t>Kosten je Test
(max. 7 Euro
erstattungsfähig)</t>
  </si>
  <si>
    <t>Kosten je Test
 (max. 7 Euro erstattungsfähig)</t>
  </si>
  <si>
    <t>Erstattungsbetrag
(in €)</t>
  </si>
  <si>
    <t>Gelieferte
Testmenge
 (in Stück)</t>
  </si>
  <si>
    <t>Erstattungsfähige
Testmenge</t>
  </si>
  <si>
    <t>Erstattungs-
fähige
Testmenge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</si>
  <si>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</si>
  <si>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für PoC-Antigen-Tests</t>
  </si>
  <si>
    <t>Erstattungsbetrag gesamt</t>
  </si>
  <si>
    <t>1. Antrag beim öffentlichen Gesundheitsdienst (ÖGD) zur Feststellung der erstattungsfähigen Testmenge</t>
  </si>
  <si>
    <t>3. Berechnung des Erstattungsbetrags nach Feststellung der erstattungsfähigen Menge (ab Tag 32 - 31.03.2021)</t>
  </si>
  <si>
    <t>1. Zeitraum</t>
  </si>
  <si>
    <t>2. Zeitraum</t>
  </si>
  <si>
    <t>Datum der Geltendmachung
(TT.MM.JJJJ)</t>
  </si>
  <si>
    <t>Maximum</t>
  </si>
  <si>
    <t>Datum Antrag Mindestens</t>
  </si>
  <si>
    <t>Versorgungsform</t>
  </si>
  <si>
    <t>Testmengenzeitraum</t>
  </si>
  <si>
    <t>Max Datum (letzte Lieferung/letzte Geltendmachung Personal)</t>
  </si>
  <si>
    <t>⇒ er den geltend gemachten Erstattungsbetrag für PoC-Antigen-Testungen (Sach- und Personalaufwendungen) nicht auch bei anderen Pflegekassen 
    oder Landesverbänden der Pflegekassen geltend macht</t>
  </si>
  <si>
    <t>3. Berechnung des Erstattungsbetrags - bitte Tabellenblätter ausfüllen</t>
  </si>
  <si>
    <t>Angaben zum Träger der Pflegeeinrichtung
bzw. zum Anbieter des Angebots 
zur Unterstützung im Alltag</t>
  </si>
  <si>
    <t>Erstattungsbetrag für die Durchführung der PoC-Antigen-Testungen</t>
  </si>
  <si>
    <t>2. Berechnung des Erstattungsbetrags für den Übergangszeitraum bis 30 Tage nach ÖGD-Antragstellung bzw. erste Bestellung (Tag 1 - 31)</t>
  </si>
  <si>
    <t>Erstattung erfolgte über Verband/Einkaufsverbund</t>
  </si>
  <si>
    <t>Berechnung des Erstattungsbetrags für PoC-Antigen-Tests</t>
  </si>
  <si>
    <t>Neu hinzugekommene
erstattungsfähige
Pauschalen seit dem
letzten Datum der 
Geltendmachung</t>
  </si>
  <si>
    <t>Verbleibende
Anzahl an
erstattungsfähigen
Pauschalen</t>
  </si>
  <si>
    <r>
      <t>Anzahl
durchgeführter
Testungen</t>
    </r>
    <r>
      <rPr>
        <sz val="11"/>
        <color rgb="FFFF0000"/>
        <rFont val="Lucida Sans Unicode"/>
        <family val="2"/>
      </rPr>
      <t xml:space="preserve"> </t>
    </r>
  </si>
  <si>
    <t>Verbleibende Anzahl
an erstattungsfähigen Pauschalen aus dem 
vorherigem Zeitraum</t>
  </si>
  <si>
    <t xml:space="preserve">⇒ er weder den geltend gemachten Erstattungsbetrag noch evtl. darüberhinausgehende Aufwendungen für PoC-Antigen-Testungen (Sach- und 
    Personalaufwendungen) Dritten (z.B. Pflegebedürftigen, Besuchenden oder Pflegekräften) in Rechnung stellt </t>
  </si>
  <si>
    <t>Testmenge
reicht bis zum
(Ende des Test-
mengenzeitraums)</t>
  </si>
  <si>
    <r>
      <t xml:space="preserve">Rechnungsbetrag
je Lieferung (in </t>
    </r>
    <r>
      <rPr>
        <sz val="10"/>
        <color theme="1"/>
        <rFont val="Calibri"/>
        <family val="2"/>
      </rPr>
      <t>€</t>
    </r>
    <r>
      <rPr>
        <sz val="10"/>
        <rFont val="Lucida Sans Unicode"/>
        <family val="2"/>
      </rPr>
      <t>)</t>
    </r>
    <r>
      <rPr>
        <vertAlign val="superscript"/>
        <sz val="10"/>
        <color rgb="FFFF0000"/>
        <rFont val="Lucida Sans Unicode"/>
        <family val="2"/>
      </rPr>
      <t>2</t>
    </r>
  </si>
  <si>
    <r>
      <t>Bestell-
datum</t>
    </r>
    <r>
      <rPr>
        <vertAlign val="superscript"/>
        <sz val="10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</si>
  <si>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>1</t>
    </r>
  </si>
  <si>
    <r>
      <t>Datum der Antragstellung
beim ÖGD</t>
    </r>
    <r>
      <rPr>
        <vertAlign val="superscript"/>
        <sz val="11"/>
        <color rgb="FFFF0000"/>
        <rFont val="Lucida Sans Unicode"/>
        <family val="2"/>
      </rPr>
      <t>1</t>
    </r>
  </si>
  <si>
    <r>
      <t>Datum der Feststellung 
durch den ÖGD</t>
    </r>
    <r>
      <rPr>
        <vertAlign val="superscript"/>
        <sz val="11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</si>
  <si>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 xml:space="preserve">1 </t>
    </r>
  </si>
  <si>
    <t>Anzahl der 
erstattungsfähigen 
Pauschalen im
jeweiligen Zeitraum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</si>
  <si>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</si>
  <si>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</si>
  <si>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r>
      <rPr>
        <vertAlign val="superscript"/>
        <sz val="9"/>
        <color rgb="FFFF0000"/>
        <rFont val="Lucida Sans Unicode"/>
        <family val="2"/>
      </rPr>
      <t xml:space="preserve">1 </t>
    </r>
    <r>
      <rPr>
        <sz val="9"/>
        <color rgb="FFFF0000"/>
        <rFont val="Lucida Sans Unicode"/>
        <family val="2"/>
      </rPr>
      <t xml:space="preserve">Bitte in TT.MM.JJJJ angeben.
</t>
    </r>
    <r>
      <rPr>
        <vertAlign val="superscript"/>
        <sz val="9"/>
        <color rgb="FFFF0000"/>
        <rFont val="Lucida Sans Unicode"/>
        <family val="2"/>
      </rPr>
      <t>2</t>
    </r>
    <r>
      <rPr>
        <sz val="9"/>
        <color rgb="FFFF0000"/>
        <rFont val="Lucida Sans Unicode"/>
        <family val="2"/>
      </rPr>
      <t xml:space="preserve"> Bei Bestellungen über einen Verband/Einkaufsverbund, der diese zentral mit einer Pflegekasse abgerechnet, bedarf es hier keiner Angabe.
</t>
    </r>
  </si>
  <si>
    <t>Berechnung der erstattungsfähigen Aufwendungen (Pauschalen) im Zusammenhang mit der Durchführung von PoC-Antigen-Testungen</t>
  </si>
  <si>
    <t>⇒ er weder die ihm erstatteten Aufwendungen noch evtl. darüberhinausgehende Aufwendungen für PoC-Antigen-Testungen (Sach- und
    Personalaufwendungen) im Rahmen der nächsten Pflegesatzvereinbarung bzw. Vergütungsvereinbarung geltend macht</t>
  </si>
  <si>
    <t xml:space="preserve">⇒ er die Erstattungspauschale für zusätzliche Aufwendungen im Zusammenhang mit der Durchführung der Testungen nur für tatsächlich genutzte Tests
    geltend macht </t>
  </si>
  <si>
    <t>Vom ÖGD festgestellte maximale
monatliche Testmenge (für je 30,42 Tage)</t>
  </si>
  <si>
    <t>Datum 1. Bestellung + 30 (31)</t>
  </si>
  <si>
    <t>Datum 1. Bestellung ab 32</t>
  </si>
  <si>
    <t>Max. Tests bei lückenloser Bestellung für
den Zeitraum ab Tag 32 bis zum 31.03.2021</t>
  </si>
  <si>
    <t>Frühester ÖGD-Antrag</t>
  </si>
  <si>
    <t>Differenz Spalte N durch 31 bzw. 30,42 Tage</t>
  </si>
  <si>
    <t>Enddatum Z1 - Bestelldatum+1</t>
  </si>
  <si>
    <t>Enddatum Z1  - Bestelldatum +1</t>
  </si>
  <si>
    <t>Versogungs-
form (Anzahl Tests pro Monat; verknüpft mit Deckblatt)</t>
  </si>
  <si>
    <t>für Zeile 15</t>
  </si>
  <si>
    <t>für Zeile 16</t>
  </si>
  <si>
    <t>für Zeile 17</t>
  </si>
  <si>
    <t>Lieferdatum für Antrag Erstattung Deckblatt; verknüpft auch mit anderen Tabellenblättern</t>
  </si>
  <si>
    <t>Beginn neuer Testmengen-zeitraum</t>
  </si>
  <si>
    <t>Enddatum - Wert aus Spalte R +1</t>
  </si>
  <si>
    <t>Test/Tag Wert I/Q</t>
  </si>
  <si>
    <t>Summe Erstattung (Deckblatt)</t>
  </si>
  <si>
    <t>(Maximal zulässige Tests für Zeile 17 ab Bestelldatum)</t>
  </si>
  <si>
    <t>(Maximal zulässige Tests für Zeile 16 ab Bestelldatum)</t>
  </si>
  <si>
    <t>Frühestes Bestelldatum (hinterlegt als Datenüberprüfung) nicht löschen, auch wenn kein Zellbezug</t>
  </si>
  <si>
    <t>Spätestes Bestelldatum (s.o.)</t>
  </si>
  <si>
    <t>Dropdown</t>
  </si>
  <si>
    <r>
      <t>Kennzeichnung der zu erstattenden Tests bzw. der bereits
ausgezahlten Erstattungsbeträge (Aus Dropdownmenü
 auswählen und ggf. Datum</t>
    </r>
    <r>
      <rPr>
        <vertAlign val="superscript"/>
        <sz val="10"/>
        <color rgb="FFFF0000"/>
        <rFont val="Lucida Sans Unicode"/>
        <family val="2"/>
      </rPr>
      <t>1</t>
    </r>
    <r>
      <rPr>
        <sz val="10"/>
        <color theme="1"/>
        <rFont val="Lucida Sans Unicode"/>
        <family val="2"/>
      </rPr>
      <t xml:space="preserve"> angeben)</t>
    </r>
  </si>
  <si>
    <t>Kennzeichnung der zu erstattenden Pauschalen 
bzw. der bereits ausgezahlten Erstattungsbeträge 
(Aus Dropdownmenü auswählen 
und ggf. Datum in TT.MM.JJJJ angeben)</t>
  </si>
  <si>
    <t>soll mit diesem Antrag erstattet werden</t>
  </si>
  <si>
    <t>Erstattung bereits beantragt aber noch nicht ausgezahlt</t>
  </si>
  <si>
    <t>⇒ er weder die ihm erstatteten Aufwendungen noch evtl. darüberhinausgehende Aufwendungen für PoC-Antigen-Testungen mit Ausnahme der notwendigen
     zusätzlichen Schutzausrüstung über das Kostenerstattungsverfahren nach § 150 Absatz 2 oder Absatz 5a SGB XI geltend macht</t>
  </si>
  <si>
    <r>
      <t xml:space="preserve">Max. Tests für 30 Tage nach Antragstellung
bzw. nach der 1. Bestellung (insg. 31 Tage)
</t>
    </r>
    <r>
      <rPr>
        <sz val="11"/>
        <color rgb="FFFF0000"/>
        <rFont val="Lucida Sans Unicode"/>
        <family val="2"/>
      </rPr>
      <t>(Versorgungsform auf Deckblatt auswählen!)</t>
    </r>
  </si>
  <si>
    <t>Erstattungs-
betrag
(pauschal 9 € je Test)</t>
  </si>
  <si>
    <t>Hinweise:
(1) In diesem Antrag sind alle erhaltenen Lieferungen und Pauschalen aufzulisten sowie die bereits ausgezahlten Erstattungsbeträge kenntlich zu machen;
(2) Weiß, rot und blau unterlegten Felder sind aufzufüllen. Weiße Zeilen sind untereinander auszufüllen. Schwarze Felder sind nicht auszufüllen.</t>
  </si>
  <si>
    <t>Hinweise:
(1) Die Einträge sind fortlaufend zu führen und die bereits ausgezahlten Erstattungsbeträge sind kenntlich zu machen;
(2) In diesem Antrag sind die durchgeführten Testungen auszuweisen. Die Erstattungspauschalen für die Durchführung der Testungen können einmal monatlich für die bereits durchgeführten Testungen geltend gemacht werden;
(3) Weiß, rot und blau unterlegte Felder sind aufzufüllen. Weiße Zeilen sind untereinander auszufüllen. Schwarze Felder sind nicht auszufüllen; 
(4) Der Anspruch auf die Erstattungspauschale je Test kann bis zum 30.06.2021 geltend gemacht werden.</t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</si>
  <si>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13.11.2020; Stand: 17.11.2020</t>
    </r>
  </si>
  <si>
    <t>Hinweise:
(1) In diesem Antrag sind alle erhaltenen Lieferungen fortlaufend einzutragen sowie die bereits ausgezahlten Erstattungsbeträge kenntlich zu machen;
(2) Weiß, rot und blau unterlegte Felder sind auszufüllen. Weiße Zeilen sind untereinander auszufüllen. Schwarze Felder sind nicht auszufüllen; 
(3) Die Differenz aus der gelieferten und der erstattungsfähigen Menge aus dem ersten Zeitraum (Tag 1 - 31 ) darf in den zweiten Zeitraum (Tag 32 - 31.03.2021) übertragen werden;
(4) Die erstattungsfähige Testmenge reduziert sich unter 2 und 3 automatisch, wenn die bis zum Ende des jeweiligen Zeitraums (Tag 31  bzw. 31.03.2021) verbleibende Testmenge überschritten wird;
(5) Eine Bestellung (Kalkulation der zu bestellenden bzw. bestellten Testmenge) kann sich nur auf zukünftige Zeiträume beziehen;
(6) Das Ende des Testmengenzeitraums der jeweiligen Lieferung berechnet sich automatisch in Abhängigkeit vom letzten Bestelldatum bzw. vorherigen Ende des Testmengenzeitraums.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</si>
</sst>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theme="1"/>
      <name val="Calibri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14" fontId="6" fillId="0" borderId="0" xfId="0" applyNumberFormat="1" applyFont="1" applyProtection="1"/>
    <xf numFmtId="0" fontId="6" fillId="0" borderId="0" xfId="0" quotePrefix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1" fontId="6" fillId="0" borderId="0" xfId="0" applyNumberFormat="1" applyFont="1" applyAlignment="1" applyProtection="1">
      <alignment horizontal="right"/>
    </xf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Protection="1"/>
    <xf numFmtId="0" fontId="4" fillId="2" borderId="20" xfId="1" applyFont="1" applyFill="1" applyBorder="1" applyAlignment="1" applyProtection="1">
      <alignment horizontal="left" vertical="center" wrapText="1"/>
    </xf>
    <xf numFmtId="0" fontId="0" fillId="0" borderId="21" xfId="0" applyBorder="1" applyProtection="1"/>
    <xf numFmtId="0" fontId="0" fillId="0" borderId="25" xfId="0" applyBorder="1" applyProtection="1"/>
    <xf numFmtId="2" fontId="6" fillId="0" borderId="0" xfId="0" applyNumberFormat="1" applyFont="1" applyFill="1" applyProtection="1"/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6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12" fillId="8" borderId="0" xfId="0" applyFont="1" applyFill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vertical="center" wrapText="1"/>
    </xf>
    <xf numFmtId="1" fontId="12" fillId="3" borderId="17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3" borderId="22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3" fontId="22" fillId="0" borderId="7" xfId="0" applyNumberFormat="1" applyFont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right" vertical="center"/>
    </xf>
    <xf numFmtId="14" fontId="22" fillId="0" borderId="22" xfId="0" applyNumberFormat="1" applyFont="1" applyFill="1" applyBorder="1" applyAlignment="1" applyProtection="1">
      <alignment horizontal="center" vertical="center"/>
      <protection locked="0"/>
    </xf>
    <xf numFmtId="14" fontId="22" fillId="0" borderId="22" xfId="0" applyNumberFormat="1" applyFont="1" applyBorder="1" applyAlignment="1" applyProtection="1">
      <alignment horizontal="center" vertical="center"/>
      <protection locked="0"/>
    </xf>
    <xf numFmtId="14" fontId="22" fillId="0" borderId="4" xfId="0" applyNumberFormat="1" applyFont="1" applyFill="1" applyBorder="1" applyAlignment="1" applyProtection="1">
      <alignment horizontal="center" vertical="center"/>
      <protection locked="0"/>
    </xf>
    <xf numFmtId="3" fontId="4" fillId="9" borderId="7" xfId="0" applyNumberFormat="1" applyFont="1" applyFill="1" applyBorder="1" applyAlignment="1" applyProtection="1">
      <alignment horizontal="center" vertical="center"/>
    </xf>
    <xf numFmtId="14" fontId="22" fillId="0" borderId="7" xfId="0" applyNumberFormat="1" applyFont="1" applyBorder="1" applyAlignment="1" applyProtection="1">
      <alignment horizontal="center" vertical="center"/>
      <protection locked="0"/>
    </xf>
    <xf numFmtId="8" fontId="20" fillId="0" borderId="0" xfId="0" applyNumberFormat="1" applyFont="1" applyFill="1" applyBorder="1" applyAlignment="1" applyProtection="1">
      <alignment vertical="center" wrapText="1"/>
    </xf>
    <xf numFmtId="14" fontId="4" fillId="3" borderId="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Protection="1"/>
    <xf numFmtId="0" fontId="6" fillId="0" borderId="26" xfId="0" applyFont="1" applyBorder="1" applyProtection="1"/>
    <xf numFmtId="0" fontId="6" fillId="0" borderId="29" xfId="0" applyFont="1" applyBorder="1" applyProtection="1"/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3" borderId="22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wrapText="1"/>
    </xf>
    <xf numFmtId="14" fontId="6" fillId="8" borderId="0" xfId="0" applyNumberFormat="1" applyFont="1" applyFill="1" applyProtection="1"/>
    <xf numFmtId="14" fontId="22" fillId="11" borderId="0" xfId="0" applyNumberFormat="1" applyFont="1" applyFill="1" applyBorder="1" applyAlignment="1" applyProtection="1">
      <alignment horizontal="center"/>
    </xf>
    <xf numFmtId="14" fontId="24" fillId="12" borderId="0" xfId="1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Protection="1"/>
    <xf numFmtId="0" fontId="0" fillId="0" borderId="0" xfId="0" applyFill="1" applyProtection="1"/>
    <xf numFmtId="14" fontId="0" fillId="10" borderId="0" xfId="0" applyNumberFormat="1" applyFill="1" applyProtection="1"/>
    <xf numFmtId="0" fontId="0" fillId="0" borderId="0" xfId="0" applyAlignment="1" applyProtection="1">
      <alignment horizontal="right"/>
    </xf>
    <xf numFmtId="0" fontId="6" fillId="12" borderId="0" xfId="0" applyFont="1" applyFill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</xf>
    <xf numFmtId="3" fontId="22" fillId="3" borderId="7" xfId="0" applyNumberFormat="1" applyFont="1" applyFill="1" applyBorder="1" applyAlignment="1" applyProtection="1">
      <alignment horizontal="center" vertical="center"/>
    </xf>
    <xf numFmtId="1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2" xfId="0" applyFont="1" applyFill="1" applyBorder="1" applyAlignment="1" applyProtection="1">
      <alignment horizontal="center" vertical="center"/>
    </xf>
    <xf numFmtId="14" fontId="6" fillId="0" borderId="0" xfId="0" applyNumberFormat="1" applyFont="1" applyBorder="1" applyProtection="1"/>
    <xf numFmtId="2" fontId="8" fillId="0" borderId="0" xfId="0" applyNumberFormat="1" applyFont="1" applyFill="1" applyBorder="1" applyAlignment="1" applyProtection="1">
      <alignment wrapText="1"/>
    </xf>
    <xf numFmtId="14" fontId="6" fillId="0" borderId="0" xfId="0" applyNumberFormat="1" applyFont="1" applyFill="1" applyBorder="1" applyAlignment="1" applyProtection="1">
      <alignment vertical="center"/>
    </xf>
    <xf numFmtId="0" fontId="6" fillId="20" borderId="35" xfId="0" applyFont="1" applyFill="1" applyBorder="1" applyProtection="1"/>
    <xf numFmtId="14" fontId="6" fillId="20" borderId="9" xfId="0" applyNumberFormat="1" applyFont="1" applyFill="1" applyBorder="1" applyAlignment="1" applyProtection="1">
      <alignment horizontal="center" vertical="center"/>
    </xf>
    <xf numFmtId="0" fontId="6" fillId="21" borderId="34" xfId="0" applyFont="1" applyFill="1" applyBorder="1" applyProtection="1"/>
    <xf numFmtId="2" fontId="6" fillId="21" borderId="34" xfId="0" applyNumberFormat="1" applyFont="1" applyFill="1" applyBorder="1" applyAlignment="1" applyProtection="1">
      <alignment vertical="center"/>
    </xf>
    <xf numFmtId="2" fontId="6" fillId="21" borderId="12" xfId="0" applyNumberFormat="1" applyFont="1" applyFill="1" applyBorder="1" applyProtection="1"/>
    <xf numFmtId="0" fontId="6" fillId="11" borderId="34" xfId="0" applyFont="1" applyFill="1" applyBorder="1" applyProtection="1"/>
    <xf numFmtId="0" fontId="6" fillId="22" borderId="1" xfId="0" applyFont="1" applyFill="1" applyBorder="1" applyAlignment="1" applyProtection="1">
      <alignment vertical="center"/>
    </xf>
    <xf numFmtId="0" fontId="6" fillId="22" borderId="3" xfId="0" applyFont="1" applyFill="1" applyBorder="1" applyAlignment="1" applyProtection="1">
      <alignment vertical="center"/>
    </xf>
    <xf numFmtId="0" fontId="6" fillId="22" borderId="35" xfId="0" applyFont="1" applyFill="1" applyBorder="1" applyProtection="1"/>
    <xf numFmtId="0" fontId="6" fillId="22" borderId="33" xfId="0" applyFont="1" applyFill="1" applyBorder="1" applyProtection="1"/>
    <xf numFmtId="14" fontId="6" fillId="22" borderId="35" xfId="0" applyNumberFormat="1" applyFont="1" applyFill="1" applyBorder="1" applyProtection="1"/>
    <xf numFmtId="14" fontId="22" fillId="22" borderId="33" xfId="0" applyNumberFormat="1" applyFont="1" applyFill="1" applyBorder="1" applyProtection="1"/>
    <xf numFmtId="0" fontId="22" fillId="22" borderId="33" xfId="0" applyFont="1" applyFill="1" applyBorder="1" applyProtection="1"/>
    <xf numFmtId="2" fontId="6" fillId="24" borderId="9" xfId="0" applyNumberFormat="1" applyFont="1" applyFill="1" applyBorder="1" applyProtection="1"/>
    <xf numFmtId="2" fontId="6" fillId="25" borderId="1" xfId="0" applyNumberFormat="1" applyFont="1" applyFill="1" applyBorder="1" applyProtection="1"/>
    <xf numFmtId="2" fontId="6" fillId="25" borderId="9" xfId="0" applyNumberFormat="1" applyFont="1" applyFill="1" applyBorder="1" applyProtection="1"/>
    <xf numFmtId="0" fontId="6" fillId="24" borderId="1" xfId="0" applyFont="1" applyFill="1" applyBorder="1" applyAlignment="1" applyProtection="1">
      <alignment horizontal="right"/>
    </xf>
    <xf numFmtId="2" fontId="6" fillId="24" borderId="35" xfId="0" applyNumberFormat="1" applyFont="1" applyFill="1" applyBorder="1" applyProtection="1"/>
    <xf numFmtId="0" fontId="6" fillId="12" borderId="11" xfId="0" applyFont="1" applyFill="1" applyBorder="1" applyAlignment="1" applyProtection="1">
      <alignment horizontal="right"/>
    </xf>
    <xf numFmtId="0" fontId="6" fillId="12" borderId="34" xfId="0" applyFont="1" applyFill="1" applyBorder="1" applyAlignment="1" applyProtection="1">
      <alignment horizontal="right"/>
    </xf>
    <xf numFmtId="0" fontId="6" fillId="12" borderId="34" xfId="0" applyFont="1" applyFill="1" applyBorder="1" applyProtection="1"/>
    <xf numFmtId="2" fontId="6" fillId="12" borderId="34" xfId="0" applyNumberFormat="1" applyFont="1" applyFill="1" applyBorder="1" applyProtection="1"/>
    <xf numFmtId="1" fontId="6" fillId="12" borderId="34" xfId="0" applyNumberFormat="1" applyFont="1" applyFill="1" applyBorder="1" applyProtection="1"/>
    <xf numFmtId="0" fontId="6" fillId="12" borderId="12" xfId="0" applyFont="1" applyFill="1" applyBorder="1" applyProtection="1"/>
    <xf numFmtId="0" fontId="6" fillId="23" borderId="11" xfId="0" applyFont="1" applyFill="1" applyBorder="1" applyAlignment="1" applyProtection="1">
      <alignment horizontal="right"/>
    </xf>
    <xf numFmtId="2" fontId="6" fillId="23" borderId="34" xfId="0" applyNumberFormat="1" applyFont="1" applyFill="1" applyBorder="1" applyAlignment="1" applyProtection="1">
      <alignment horizontal="right"/>
    </xf>
    <xf numFmtId="0" fontId="6" fillId="23" borderId="34" xfId="0" applyFont="1" applyFill="1" applyBorder="1" applyProtection="1"/>
    <xf numFmtId="2" fontId="6" fillId="23" borderId="34" xfId="0" applyNumberFormat="1" applyFont="1" applyFill="1" applyBorder="1" applyProtection="1"/>
    <xf numFmtId="2" fontId="6" fillId="23" borderId="12" xfId="0" applyNumberFormat="1" applyFont="1" applyFill="1" applyBorder="1" applyProtection="1"/>
    <xf numFmtId="14" fontId="6" fillId="14" borderId="34" xfId="0" applyNumberFormat="1" applyFont="1" applyFill="1" applyBorder="1" applyProtection="1"/>
    <xf numFmtId="0" fontId="6" fillId="13" borderId="34" xfId="0" applyFont="1" applyFill="1" applyBorder="1" applyProtection="1"/>
    <xf numFmtId="14" fontId="6" fillId="19" borderId="34" xfId="0" applyNumberFormat="1" applyFont="1" applyFill="1" applyBorder="1" applyProtection="1"/>
    <xf numFmtId="8" fontId="6" fillId="10" borderId="4" xfId="0" applyNumberFormat="1" applyFont="1" applyFill="1" applyBorder="1" applyAlignment="1" applyProtection="1">
      <alignment vertical="center"/>
    </xf>
    <xf numFmtId="0" fontId="6" fillId="29" borderId="0" xfId="0" applyFont="1" applyFill="1" applyProtection="1"/>
    <xf numFmtId="14" fontId="6" fillId="29" borderId="0" xfId="0" applyNumberFormat="1" applyFont="1" applyFill="1" applyProtection="1"/>
    <xf numFmtId="0" fontId="19" fillId="29" borderId="0" xfId="0" applyFont="1" applyFill="1" applyProtection="1"/>
    <xf numFmtId="14" fontId="19" fillId="29" borderId="0" xfId="0" applyNumberFormat="1" applyFont="1" applyFill="1" applyProtection="1"/>
    <xf numFmtId="2" fontId="6" fillId="30" borderId="4" xfId="0" applyNumberFormat="1" applyFont="1" applyFill="1" applyBorder="1" applyProtection="1"/>
    <xf numFmtId="2" fontId="6" fillId="26" borderId="11" xfId="0" applyNumberFormat="1" applyFont="1" applyFill="1" applyBorder="1" applyProtection="1"/>
    <xf numFmtId="2" fontId="6" fillId="26" borderId="34" xfId="0" applyNumberFormat="1" applyFont="1" applyFill="1" applyBorder="1" applyAlignment="1" applyProtection="1">
      <alignment wrapText="1"/>
    </xf>
    <xf numFmtId="0" fontId="6" fillId="14" borderId="12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6" fillId="28" borderId="4" xfId="0" applyFont="1" applyFill="1" applyBorder="1" applyAlignment="1" applyProtection="1">
      <alignment wrapText="1"/>
    </xf>
    <xf numFmtId="14" fontId="6" fillId="28" borderId="6" xfId="0" applyNumberFormat="1" applyFont="1" applyFill="1" applyBorder="1" applyProtection="1"/>
    <xf numFmtId="14" fontId="7" fillId="31" borderId="6" xfId="0" applyNumberFormat="1" applyFont="1" applyFill="1" applyBorder="1" applyAlignment="1" applyProtection="1">
      <alignment vertical="center"/>
    </xf>
    <xf numFmtId="0" fontId="6" fillId="27" borderId="1" xfId="0" applyFont="1" applyFill="1" applyBorder="1" applyProtection="1"/>
    <xf numFmtId="0" fontId="6" fillId="27" borderId="3" xfId="0" applyFont="1" applyFill="1" applyBorder="1" applyProtection="1"/>
    <xf numFmtId="0" fontId="6" fillId="27" borderId="35" xfId="0" applyFont="1" applyFill="1" applyBorder="1" applyProtection="1"/>
    <xf numFmtId="0" fontId="6" fillId="27" borderId="33" xfId="0" applyFont="1" applyFill="1" applyBorder="1" applyProtection="1"/>
    <xf numFmtId="0" fontId="6" fillId="27" borderId="10" xfId="0" applyFont="1" applyFill="1" applyBorder="1" applyProtection="1"/>
    <xf numFmtId="0" fontId="6" fillId="27" borderId="0" xfId="0" applyFont="1" applyFill="1" applyProtection="1"/>
    <xf numFmtId="0" fontId="0" fillId="27" borderId="35" xfId="0" applyFill="1" applyBorder="1" applyAlignment="1"/>
    <xf numFmtId="0" fontId="0" fillId="27" borderId="9" xfId="0" applyFill="1" applyBorder="1" applyAlignment="1"/>
    <xf numFmtId="0" fontId="0" fillId="27" borderId="0" xfId="0" applyFill="1" applyBorder="1" applyAlignment="1"/>
    <xf numFmtId="0" fontId="0" fillId="27" borderId="33" xfId="0" applyFill="1" applyBorder="1" applyAlignment="1"/>
    <xf numFmtId="0" fontId="0" fillId="27" borderId="8" xfId="0" applyFill="1" applyBorder="1" applyAlignment="1"/>
    <xf numFmtId="0" fontId="0" fillId="27" borderId="10" xfId="0" applyFill="1" applyBorder="1" applyAlignment="1"/>
    <xf numFmtId="0" fontId="6" fillId="27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2" fontId="22" fillId="26" borderId="7" xfId="0" applyNumberFormat="1" applyFont="1" applyFill="1" applyBorder="1" applyAlignment="1" applyProtection="1">
      <alignment wrapText="1"/>
    </xf>
    <xf numFmtId="3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1" applyNumberFormat="1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4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center" vertical="center" wrapText="1"/>
    </xf>
    <xf numFmtId="0" fontId="3" fillId="5" borderId="16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0" fontId="3" fillId="5" borderId="17" xfId="1" applyFont="1" applyFill="1" applyBorder="1" applyAlignment="1" applyProtection="1">
      <alignment horizontal="left" vertical="center"/>
    </xf>
    <xf numFmtId="0" fontId="4" fillId="6" borderId="4" xfId="1" applyFont="1" applyFill="1" applyBorder="1" applyAlignment="1" applyProtection="1">
      <alignment horizontal="left" vertical="center"/>
    </xf>
    <xf numFmtId="0" fontId="4" fillId="6" borderId="6" xfId="1" applyFont="1" applyFill="1" applyBorder="1" applyAlignment="1" applyProtection="1">
      <alignment horizontal="left" vertical="center"/>
    </xf>
    <xf numFmtId="0" fontId="10" fillId="4" borderId="16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17" xfId="1" applyFont="1" applyFill="1" applyBorder="1" applyAlignment="1" applyProtection="1">
      <alignment horizontal="left" vertical="center" wrapText="1"/>
    </xf>
    <xf numFmtId="0" fontId="4" fillId="18" borderId="4" xfId="1" applyFont="1" applyFill="1" applyBorder="1" applyAlignment="1" applyProtection="1">
      <alignment horizontal="center" vertical="center"/>
      <protection locked="0"/>
    </xf>
    <xf numFmtId="0" fontId="4" fillId="18" borderId="5" xfId="1" applyFont="1" applyFill="1" applyBorder="1" applyAlignment="1" applyProtection="1">
      <alignment horizontal="center" vertical="center"/>
      <protection locked="0"/>
    </xf>
    <xf numFmtId="0" fontId="4" fillId="18" borderId="6" xfId="1" applyFont="1" applyFill="1" applyBorder="1" applyAlignment="1" applyProtection="1">
      <alignment horizontal="center" vertical="center"/>
      <protection locked="0"/>
    </xf>
    <xf numFmtId="0" fontId="10" fillId="6" borderId="5" xfId="1" applyFont="1" applyFill="1" applyBorder="1" applyAlignment="1" applyProtection="1">
      <alignment horizontal="center" vertical="center" wrapText="1"/>
    </xf>
    <xf numFmtId="0" fontId="10" fillId="6" borderId="17" xfId="1" applyFont="1" applyFill="1" applyBorder="1" applyAlignment="1" applyProtection="1">
      <alignment horizontal="center" vertical="center" wrapText="1"/>
    </xf>
    <xf numFmtId="49" fontId="24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6" borderId="17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/>
    </xf>
    <xf numFmtId="0" fontId="12" fillId="0" borderId="26" xfId="1" applyFont="1" applyFill="1" applyBorder="1" applyAlignment="1" applyProtection="1">
      <alignment horizontal="center"/>
    </xf>
    <xf numFmtId="0" fontId="12" fillId="0" borderId="29" xfId="1" applyFont="1" applyFill="1" applyBorder="1" applyAlignment="1" applyProtection="1">
      <alignment horizontal="center"/>
    </xf>
    <xf numFmtId="0" fontId="12" fillId="0" borderId="27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 wrapText="1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11" fillId="2" borderId="18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 wrapText="1"/>
    </xf>
    <xf numFmtId="0" fontId="3" fillId="5" borderId="23" xfId="1" applyFont="1" applyFill="1" applyBorder="1" applyAlignment="1" applyProtection="1">
      <alignment horizontal="left" vertical="center"/>
    </xf>
    <xf numFmtId="0" fontId="3" fillId="5" borderId="7" xfId="1" applyFont="1" applyFill="1" applyBorder="1" applyAlignment="1" applyProtection="1">
      <alignment horizontal="left" vertical="center"/>
    </xf>
    <xf numFmtId="0" fontId="3" fillId="5" borderId="22" xfId="1" applyFont="1" applyFill="1" applyBorder="1" applyAlignment="1" applyProtection="1">
      <alignment horizontal="left" vertical="center"/>
    </xf>
    <xf numFmtId="164" fontId="28" fillId="14" borderId="7" xfId="1" applyNumberFormat="1" applyFont="1" applyFill="1" applyBorder="1" applyAlignment="1" applyProtection="1">
      <alignment horizontal="right" vertical="center"/>
    </xf>
    <xf numFmtId="164" fontId="28" fillId="14" borderId="22" xfId="1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3" fillId="5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left" vertical="center"/>
      <protection locked="0"/>
    </xf>
    <xf numFmtId="0" fontId="22" fillId="7" borderId="17" xfId="0" applyFont="1" applyFill="1" applyBorder="1" applyAlignment="1" applyProtection="1">
      <alignment horizontal="left" vertic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22" fillId="7" borderId="5" xfId="0" applyFont="1" applyFill="1" applyBorder="1" applyAlignment="1" applyProtection="1">
      <alignment horizontal="center"/>
      <protection locked="0"/>
    </xf>
    <xf numFmtId="0" fontId="22" fillId="7" borderId="6" xfId="0" applyFont="1" applyFill="1" applyBorder="1" applyAlignment="1" applyProtection="1">
      <alignment horizontal="center"/>
      <protection locked="0"/>
    </xf>
    <xf numFmtId="0" fontId="4" fillId="6" borderId="5" xfId="1" applyFont="1" applyFill="1" applyBorder="1" applyAlignment="1" applyProtection="1">
      <alignment horizontal="left" vertical="center"/>
    </xf>
    <xf numFmtId="0" fontId="22" fillId="7" borderId="17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164" fontId="28" fillId="6" borderId="7" xfId="1" applyNumberFormat="1" applyFont="1" applyFill="1" applyBorder="1" applyAlignment="1" applyProtection="1">
      <alignment horizontal="right" vertical="center"/>
    </xf>
    <xf numFmtId="164" fontId="28" fillId="6" borderId="22" xfId="1" applyNumberFormat="1" applyFont="1" applyFill="1" applyBorder="1" applyAlignment="1" applyProtection="1">
      <alignment horizontal="right" vertical="center"/>
    </xf>
    <xf numFmtId="0" fontId="3" fillId="5" borderId="16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17" xfId="1" applyFont="1" applyFill="1" applyBorder="1" applyAlignment="1" applyProtection="1">
      <alignment horizontal="left" vertical="center" wrapText="1"/>
    </xf>
    <xf numFmtId="49" fontId="24" fillId="7" borderId="5" xfId="1" applyNumberFormat="1" applyFont="1" applyFill="1" applyBorder="1" applyAlignment="1" applyProtection="1">
      <alignment horizontal="center" vertical="center"/>
      <protection locked="0"/>
    </xf>
    <xf numFmtId="49" fontId="24" fillId="7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left" vertical="center"/>
    </xf>
    <xf numFmtId="0" fontId="3" fillId="6" borderId="5" xfId="1" applyFont="1" applyFill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4" fillId="7" borderId="4" xfId="1" applyNumberFormat="1" applyFont="1" applyFill="1" applyBorder="1" applyAlignment="1" applyProtection="1">
      <alignment horizontal="center" vertical="center"/>
      <protection locked="0"/>
    </xf>
    <xf numFmtId="49" fontId="24" fillId="7" borderId="6" xfId="1" applyNumberFormat="1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5" fillId="4" borderId="16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5" fillId="4" borderId="17" xfId="1" applyFont="1" applyFill="1" applyBorder="1" applyAlignment="1" applyProtection="1">
      <alignment horizontal="left" vertical="center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6" xfId="0" applyNumberFormat="1" applyFont="1" applyFill="1" applyBorder="1" applyAlignment="1" applyProtection="1">
      <alignment horizontal="right" vertical="center"/>
      <protection locked="0"/>
    </xf>
    <xf numFmtId="164" fontId="4" fillId="4" borderId="7" xfId="0" applyNumberFormat="1" applyFont="1" applyFill="1" applyBorder="1" applyAlignment="1" applyProtection="1">
      <alignment horizontal="right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14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7" xfId="0" applyFont="1" applyFill="1" applyBorder="1" applyAlignment="1" applyProtection="1">
      <alignment horizontal="center" vertical="center" wrapText="1"/>
      <protection locked="0"/>
    </xf>
    <xf numFmtId="14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7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</xf>
    <xf numFmtId="0" fontId="6" fillId="17" borderId="7" xfId="0" applyFont="1" applyFill="1" applyBorder="1" applyAlignment="1" applyProtection="1">
      <alignment horizontal="center" vertical="center" wrapText="1"/>
    </xf>
    <xf numFmtId="1" fontId="12" fillId="17" borderId="4" xfId="0" applyNumberFormat="1" applyFont="1" applyFill="1" applyBorder="1" applyAlignment="1" applyProtection="1">
      <alignment horizontal="center" vertical="center" wrapText="1"/>
    </xf>
    <xf numFmtId="1" fontId="12" fillId="17" borderId="6" xfId="0" applyNumberFormat="1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9" xfId="0" applyFont="1" applyFill="1" applyBorder="1" applyAlignment="1" applyProtection="1">
      <alignment horizontal="center" vertical="center" wrapText="1"/>
    </xf>
    <xf numFmtId="0" fontId="22" fillId="6" borderId="3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17" borderId="11" xfId="0" applyFont="1" applyFill="1" applyBorder="1" applyAlignment="1" applyProtection="1">
      <alignment horizontal="center" vertical="center" wrapText="1"/>
    </xf>
    <xf numFmtId="0" fontId="22" fillId="17" borderId="12" xfId="0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22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8" fontId="20" fillId="6" borderId="7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164" fontId="4" fillId="4" borderId="4" xfId="0" applyNumberFormat="1" applyFont="1" applyFill="1" applyBorder="1" applyAlignment="1" applyProtection="1">
      <alignment horizontal="right" vertical="center"/>
    </xf>
    <xf numFmtId="164" fontId="4" fillId="4" borderId="6" xfId="0" applyNumberFormat="1" applyFont="1" applyFill="1" applyBorder="1" applyAlignment="1" applyProtection="1">
      <alignment horizontal="right" vertical="center"/>
    </xf>
    <xf numFmtId="0" fontId="7" fillId="20" borderId="1" xfId="0" applyFont="1" applyFill="1" applyBorder="1" applyAlignment="1" applyProtection="1">
      <alignment horizontal="right" wrapText="1"/>
    </xf>
    <xf numFmtId="0" fontId="7" fillId="20" borderId="35" xfId="0" applyFont="1" applyFill="1" applyBorder="1" applyAlignment="1" applyProtection="1">
      <alignment horizontal="right" wrapText="1"/>
    </xf>
    <xf numFmtId="0" fontId="7" fillId="11" borderId="11" xfId="0" applyFont="1" applyFill="1" applyBorder="1" applyAlignment="1" applyProtection="1">
      <alignment horizontal="center" wrapText="1"/>
    </xf>
    <xf numFmtId="0" fontId="7" fillId="11" borderId="34" xfId="0" applyFont="1" applyFill="1" applyBorder="1" applyAlignment="1" applyProtection="1">
      <alignment horizontal="center" wrapText="1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8" xfId="0" applyFont="1" applyFill="1" applyBorder="1" applyAlignment="1" applyProtection="1">
      <alignment horizontal="center"/>
    </xf>
    <xf numFmtId="0" fontId="8" fillId="25" borderId="10" xfId="0" applyFont="1" applyFill="1" applyBorder="1" applyAlignment="1" applyProtection="1">
      <alignment horizontal="center"/>
    </xf>
    <xf numFmtId="0" fontId="22" fillId="14" borderId="11" xfId="0" applyFont="1" applyFill="1" applyBorder="1" applyAlignment="1" applyProtection="1">
      <alignment horizontal="center" wrapText="1"/>
    </xf>
    <xf numFmtId="0" fontId="22" fillId="14" borderId="34" xfId="0" applyFont="1" applyFill="1" applyBorder="1" applyAlignment="1" applyProtection="1">
      <alignment horizontal="center" wrapText="1"/>
    </xf>
    <xf numFmtId="2" fontId="6" fillId="13" borderId="11" xfId="0" applyNumberFormat="1" applyFont="1" applyFill="1" applyBorder="1" applyAlignment="1" applyProtection="1">
      <alignment horizontal="center" vertical="center" wrapText="1"/>
    </xf>
    <xf numFmtId="2" fontId="6" fillId="13" borderId="34" xfId="0" applyNumberFormat="1" applyFont="1" applyFill="1" applyBorder="1" applyAlignment="1" applyProtection="1">
      <alignment horizontal="center" vertical="center" wrapText="1"/>
    </xf>
    <xf numFmtId="0" fontId="6" fillId="19" borderId="11" xfId="0" applyFont="1" applyFill="1" applyBorder="1" applyAlignment="1" applyProtection="1">
      <alignment horizontal="center" vertical="center" wrapText="1"/>
    </xf>
    <xf numFmtId="0" fontId="6" fillId="19" borderId="3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6" fillId="30" borderId="0" xfId="0" applyNumberFormat="1" applyFont="1" applyFill="1" applyBorder="1" applyAlignment="1" applyProtection="1">
      <alignment horizontal="center" wrapText="1"/>
    </xf>
    <xf numFmtId="2" fontId="6" fillId="30" borderId="8" xfId="0" applyNumberFormat="1" applyFont="1" applyFill="1" applyBorder="1" applyAlignment="1" applyProtection="1">
      <alignment horizont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0" borderId="6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0" fontId="7" fillId="31" borderId="11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12" xfId="0" applyFont="1" applyFill="1" applyBorder="1" applyAlignment="1" applyProtection="1">
      <alignment horizontal="center" vertical="center" wrapText="1"/>
    </xf>
    <xf numFmtId="0" fontId="7" fillId="21" borderId="11" xfId="0" applyFont="1" applyFill="1" applyBorder="1" applyAlignment="1" applyProtection="1">
      <alignment horizontal="center" wrapText="1"/>
    </xf>
    <xf numFmtId="0" fontId="7" fillId="21" borderId="34" xfId="0" applyFont="1" applyFill="1" applyBorder="1" applyAlignment="1" applyProtection="1">
      <alignment horizont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2" fillId="5" borderId="30" xfId="1" applyFont="1" applyFill="1" applyBorder="1" applyAlignment="1" applyProtection="1">
      <alignment horizontal="center" vertical="center" wrapText="1"/>
    </xf>
    <xf numFmtId="0" fontId="2" fillId="5" borderId="31" xfId="1" applyFont="1" applyFill="1" applyBorder="1" applyAlignment="1" applyProtection="1">
      <alignment horizontal="center" vertical="center" wrapText="1"/>
    </xf>
    <xf numFmtId="0" fontId="2" fillId="5" borderId="32" xfId="1" applyFont="1" applyFill="1" applyBorder="1" applyAlignment="1" applyProtection="1">
      <alignment horizontal="center" vertical="center" wrapText="1"/>
    </xf>
    <xf numFmtId="0" fontId="10" fillId="4" borderId="23" xfId="1" applyFont="1" applyFill="1" applyBorder="1" applyAlignment="1" applyProtection="1">
      <alignment horizontal="left" vertical="center" wrapText="1"/>
    </xf>
    <xf numFmtId="0" fontId="10" fillId="4" borderId="7" xfId="1" applyFont="1" applyFill="1" applyBorder="1" applyAlignment="1" applyProtection="1">
      <alignment horizontal="left" vertical="center" wrapText="1"/>
    </xf>
    <xf numFmtId="0" fontId="10" fillId="4" borderId="22" xfId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15" borderId="11" xfId="0" applyFont="1" applyFill="1" applyBorder="1" applyAlignment="1" applyProtection="1">
      <alignment horizontal="center" vertical="center" wrapText="1"/>
    </xf>
    <xf numFmtId="0" fontId="6" fillId="15" borderId="1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_2009-03-24 Anlage 6 §87b" xfId="1" xr:uid="{00000000-0005-0000-0000-000001000000}"/>
  </cellStyles>
  <dxfs count="36"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strike/>
      </font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EADCF4"/>
      <color rgb="FFFFFFCC"/>
      <color rgb="FFFF5353"/>
      <color rgb="FFB07BD7"/>
      <color rgb="FFFF2525"/>
      <color rgb="FFFFFFC1"/>
      <color rgb="FFECECEC"/>
      <color rgb="FFFFFFDD"/>
      <color rgb="FFEEF6EA"/>
      <color rgb="FFEA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showGridLines="0" tabSelected="1" topLeftCell="A13" zoomScale="80" zoomScaleNormal="80" zoomScaleSheetLayoutView="70" workbookViewId="0">
      <selection activeCell="D6" sqref="D6:I6"/>
    </sheetView>
  </sheetViews>
  <sheetFormatPr baseColWidth="10" defaultColWidth="8.85546875" defaultRowHeight="15" x14ac:dyDescent="0.25"/>
  <cols>
    <col min="1" max="1" width="1.42578125" style="22" customWidth="1"/>
    <col min="2" max="2" width="12.5703125" style="22" customWidth="1"/>
    <col min="3" max="3" width="14.140625" style="22" customWidth="1"/>
    <col min="4" max="4" width="7.5703125" style="22" customWidth="1"/>
    <col min="5" max="5" width="7.42578125" style="22" customWidth="1"/>
    <col min="6" max="6" width="4.42578125" style="22" customWidth="1"/>
    <col min="7" max="7" width="8.42578125" style="22" customWidth="1"/>
    <col min="8" max="8" width="10.5703125" style="22" customWidth="1"/>
    <col min="9" max="9" width="12.5703125" style="22" customWidth="1"/>
    <col min="10" max="10" width="18.42578125" style="22" customWidth="1"/>
    <col min="11" max="11" width="8" style="22" customWidth="1"/>
    <col min="12" max="12" width="14.5703125" style="22" customWidth="1"/>
    <col min="13" max="13" width="12.5703125" style="22" customWidth="1"/>
    <col min="14" max="14" width="10.5703125" style="22" customWidth="1"/>
    <col min="15" max="15" width="19.85546875" style="22" customWidth="1"/>
    <col min="16" max="16" width="24" style="22" hidden="1" customWidth="1"/>
    <col min="17" max="17" width="13.140625" style="22" hidden="1" customWidth="1"/>
    <col min="18" max="18" width="16.5703125" style="22" hidden="1" customWidth="1"/>
    <col min="19" max="20" width="16.5703125" style="22" customWidth="1"/>
    <col min="21" max="21" width="12.5703125" style="22" customWidth="1"/>
    <col min="22" max="22" width="31.5703125" style="22" customWidth="1"/>
    <col min="23" max="23" width="16.140625" style="22" customWidth="1"/>
    <col min="24" max="24" width="15.5703125" style="22" customWidth="1"/>
    <col min="25" max="25" width="20.42578125" style="22" customWidth="1"/>
    <col min="26" max="26" width="8.85546875" style="22" customWidth="1"/>
    <col min="27" max="27" width="15.5703125" style="22" customWidth="1"/>
    <col min="28" max="28" width="17" style="22" customWidth="1"/>
    <col min="29" max="29" width="8.85546875" style="22" customWidth="1"/>
    <col min="30" max="16384" width="8.85546875" style="22"/>
  </cols>
  <sheetData>
    <row r="1" spans="1:25" s="3" customFormat="1" ht="99.6" customHeight="1" x14ac:dyDescent="0.2">
      <c r="A1" s="190" t="s">
        <v>119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  <c r="N1" s="31"/>
      <c r="O1" s="31"/>
    </row>
    <row r="2" spans="1:25" s="3" customFormat="1" ht="42.6" customHeight="1" x14ac:dyDescent="0.2">
      <c r="A2" s="198" t="s">
        <v>117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/>
      <c r="N2" s="33"/>
      <c r="O2" s="33"/>
    </row>
    <row r="3" spans="1:25" s="3" customFormat="1" ht="7.35" customHeight="1" x14ac:dyDescent="0.2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/>
      <c r="N3" s="31"/>
      <c r="O3" s="31"/>
    </row>
    <row r="4" spans="1:25" s="3" customFormat="1" ht="18" customHeight="1" x14ac:dyDescent="0.2">
      <c r="A4" s="193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N4" s="34"/>
      <c r="O4" s="34"/>
      <c r="Q4" s="3" t="s">
        <v>59</v>
      </c>
    </row>
    <row r="5" spans="1:25" s="3" customFormat="1" ht="7.35" customHeight="1" x14ac:dyDescent="0.2">
      <c r="A5" s="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/>
      <c r="N5" s="2"/>
      <c r="O5" s="2"/>
    </row>
    <row r="6" spans="1:25" s="3" customFormat="1" ht="22.35" customHeight="1" x14ac:dyDescent="0.2">
      <c r="A6" s="47"/>
      <c r="B6" s="196" t="s">
        <v>82</v>
      </c>
      <c r="C6" s="197"/>
      <c r="D6" s="201"/>
      <c r="E6" s="202"/>
      <c r="F6" s="202"/>
      <c r="G6" s="202"/>
      <c r="H6" s="202"/>
      <c r="I6" s="203"/>
      <c r="J6" s="204" t="s">
        <v>83</v>
      </c>
      <c r="K6" s="204"/>
      <c r="L6" s="204"/>
      <c r="M6" s="205"/>
      <c r="N6" s="35"/>
      <c r="O6" s="35"/>
      <c r="Q6" s="75">
        <f>IF(D6="",0,VLOOKUP(D6,P9:Q14,2,0))</f>
        <v>0</v>
      </c>
    </row>
    <row r="7" spans="1:25" s="3" customFormat="1" ht="7.35" customHeight="1" x14ac:dyDescent="0.2">
      <c r="A7" s="4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8"/>
      <c r="N7" s="2"/>
      <c r="O7" s="2"/>
    </row>
    <row r="8" spans="1:25" s="3" customFormat="1" ht="46.35" customHeight="1" x14ac:dyDescent="0.2">
      <c r="A8" s="47"/>
      <c r="B8" s="2"/>
      <c r="C8" s="2"/>
      <c r="D8" s="209" t="s">
        <v>20</v>
      </c>
      <c r="E8" s="207"/>
      <c r="F8" s="207"/>
      <c r="G8" s="207"/>
      <c r="H8" s="207"/>
      <c r="I8" s="210"/>
      <c r="J8" s="207" t="s">
        <v>64</v>
      </c>
      <c r="K8" s="207"/>
      <c r="L8" s="207"/>
      <c r="M8" s="208"/>
      <c r="N8" s="36"/>
      <c r="O8" s="36"/>
    </row>
    <row r="9" spans="1:25" s="3" customFormat="1" ht="17.100000000000001" customHeight="1" x14ac:dyDescent="0.25">
      <c r="A9" s="49"/>
      <c r="B9" s="196" t="s">
        <v>0</v>
      </c>
      <c r="C9" s="197"/>
      <c r="D9" s="185"/>
      <c r="E9" s="186"/>
      <c r="F9" s="186"/>
      <c r="G9" s="186"/>
      <c r="H9" s="186"/>
      <c r="I9" s="187"/>
      <c r="J9" s="186"/>
      <c r="K9" s="186"/>
      <c r="L9" s="186"/>
      <c r="M9" s="206"/>
      <c r="N9" s="42"/>
      <c r="O9" s="42"/>
      <c r="P9" t="s">
        <v>8</v>
      </c>
      <c r="Q9">
        <v>10</v>
      </c>
    </row>
    <row r="10" spans="1:25" s="3" customFormat="1" ht="17.100000000000001" customHeight="1" x14ac:dyDescent="0.25">
      <c r="A10" s="49"/>
      <c r="B10" s="196" t="s">
        <v>1</v>
      </c>
      <c r="C10" s="197"/>
      <c r="D10" s="185"/>
      <c r="E10" s="186"/>
      <c r="F10" s="186"/>
      <c r="G10" s="186"/>
      <c r="H10" s="186"/>
      <c r="I10" s="187"/>
      <c r="J10" s="186"/>
      <c r="K10" s="186"/>
      <c r="L10" s="186"/>
      <c r="M10" s="206"/>
      <c r="N10" s="42"/>
      <c r="O10" s="42"/>
      <c r="P10" t="s">
        <v>9</v>
      </c>
      <c r="Q10">
        <v>10</v>
      </c>
    </row>
    <row r="11" spans="1:25" s="3" customFormat="1" ht="17.100000000000001" customHeight="1" x14ac:dyDescent="0.25">
      <c r="A11" s="49"/>
      <c r="B11" s="196" t="s">
        <v>2</v>
      </c>
      <c r="C11" s="197"/>
      <c r="D11" s="185"/>
      <c r="E11" s="186"/>
      <c r="F11" s="186"/>
      <c r="G11" s="186"/>
      <c r="H11" s="186"/>
      <c r="I11" s="187"/>
      <c r="J11" s="186"/>
      <c r="K11" s="186"/>
      <c r="L11" s="186"/>
      <c r="M11" s="206"/>
      <c r="N11" s="42"/>
      <c r="O11" s="42"/>
      <c r="P11" t="s">
        <v>10</v>
      </c>
      <c r="Q11">
        <v>20</v>
      </c>
    </row>
    <row r="12" spans="1:25" s="3" customFormat="1" ht="17.100000000000001" customHeight="1" x14ac:dyDescent="0.25">
      <c r="A12" s="49"/>
      <c r="B12" s="196" t="s">
        <v>3</v>
      </c>
      <c r="C12" s="197"/>
      <c r="D12" s="185"/>
      <c r="E12" s="186"/>
      <c r="F12" s="186"/>
      <c r="G12" s="186"/>
      <c r="H12" s="186"/>
      <c r="I12" s="187"/>
      <c r="J12" s="186"/>
      <c r="K12" s="186"/>
      <c r="L12" s="186"/>
      <c r="M12" s="206"/>
      <c r="N12" s="42"/>
      <c r="O12" s="42"/>
      <c r="P12" t="s">
        <v>11</v>
      </c>
      <c r="Q12">
        <v>20</v>
      </c>
    </row>
    <row r="13" spans="1:25" s="3" customFormat="1" ht="17.100000000000001" customHeight="1" x14ac:dyDescent="0.25">
      <c r="A13" s="49"/>
      <c r="B13" s="196" t="s">
        <v>5</v>
      </c>
      <c r="C13" s="197"/>
      <c r="D13" s="185"/>
      <c r="E13" s="186"/>
      <c r="F13" s="186"/>
      <c r="G13" s="186"/>
      <c r="H13" s="186"/>
      <c r="I13" s="187"/>
      <c r="J13" s="186"/>
      <c r="K13" s="186"/>
      <c r="L13" s="186"/>
      <c r="M13" s="206"/>
      <c r="N13" s="42"/>
      <c r="O13" s="42"/>
      <c r="P13" t="s">
        <v>31</v>
      </c>
      <c r="Q13">
        <v>20</v>
      </c>
    </row>
    <row r="14" spans="1:25" s="3" customFormat="1" ht="17.100000000000001" customHeight="1" x14ac:dyDescent="0.25">
      <c r="A14" s="49"/>
      <c r="B14" s="196" t="s">
        <v>6</v>
      </c>
      <c r="C14" s="197"/>
      <c r="D14" s="185"/>
      <c r="E14" s="186"/>
      <c r="F14" s="186"/>
      <c r="G14" s="186"/>
      <c r="H14" s="186"/>
      <c r="I14" s="187"/>
      <c r="J14" s="186"/>
      <c r="K14" s="186"/>
      <c r="L14" s="186"/>
      <c r="M14" s="206"/>
      <c r="N14" s="42"/>
      <c r="O14" s="42"/>
      <c r="P14" t="s">
        <v>15</v>
      </c>
      <c r="Q14">
        <v>10</v>
      </c>
    </row>
    <row r="15" spans="1:25" s="3" customFormat="1" ht="17.100000000000001" customHeight="1" x14ac:dyDescent="0.25">
      <c r="A15" s="50"/>
      <c r="B15" s="196" t="s">
        <v>7</v>
      </c>
      <c r="C15" s="197"/>
      <c r="D15" s="262"/>
      <c r="E15" s="263"/>
      <c r="F15" s="263"/>
      <c r="G15" s="263"/>
      <c r="H15" s="263"/>
      <c r="I15" s="264"/>
      <c r="J15" s="247"/>
      <c r="K15" s="247"/>
      <c r="L15" s="247"/>
      <c r="M15" s="250"/>
      <c r="N15" s="43"/>
      <c r="O15" s="43"/>
      <c r="Q15" s="4"/>
    </row>
    <row r="16" spans="1:25" s="3" customFormat="1" ht="17.100000000000001" customHeight="1" x14ac:dyDescent="0.2">
      <c r="A16" s="49"/>
      <c r="B16" s="196" t="s">
        <v>23</v>
      </c>
      <c r="C16" s="197"/>
      <c r="D16" s="265"/>
      <c r="E16" s="258"/>
      <c r="F16" s="258"/>
      <c r="G16" s="258"/>
      <c r="H16" s="258"/>
      <c r="I16" s="266"/>
      <c r="J16" s="258"/>
      <c r="K16" s="258"/>
      <c r="L16" s="258"/>
      <c r="M16" s="259"/>
      <c r="N16" s="42"/>
      <c r="O16" s="42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17.100000000000001" customHeight="1" x14ac:dyDescent="0.25">
      <c r="A17" s="50"/>
      <c r="B17" s="196" t="s">
        <v>24</v>
      </c>
      <c r="C17" s="197"/>
      <c r="D17" s="246"/>
      <c r="E17" s="247"/>
      <c r="F17" s="247"/>
      <c r="G17" s="247"/>
      <c r="H17" s="247"/>
      <c r="I17" s="248"/>
      <c r="J17" s="247"/>
      <c r="K17" s="247"/>
      <c r="L17" s="247"/>
      <c r="M17" s="250"/>
      <c r="N17" s="43"/>
      <c r="O17" s="38"/>
      <c r="R17" s="4"/>
      <c r="S17" s="4"/>
      <c r="T17" s="4"/>
      <c r="U17" s="4"/>
      <c r="V17" s="4"/>
      <c r="W17" s="4"/>
      <c r="X17" s="4"/>
      <c r="Y17" s="4"/>
    </row>
    <row r="18" spans="1:25" s="3" customFormat="1" ht="7.35" customHeight="1" x14ac:dyDescent="0.2">
      <c r="A18" s="5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1"/>
      <c r="N18" s="37"/>
      <c r="O18" s="37"/>
      <c r="R18" s="4"/>
      <c r="S18" s="4"/>
      <c r="T18" s="4"/>
      <c r="U18" s="4"/>
      <c r="V18" s="4"/>
      <c r="W18" s="4"/>
      <c r="X18" s="4"/>
      <c r="Y18" s="4"/>
    </row>
    <row r="19" spans="1:25" s="3" customFormat="1" ht="7.35" customHeight="1" x14ac:dyDescent="0.2">
      <c r="A19" s="5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1"/>
      <c r="N19" s="37"/>
      <c r="O19" s="37"/>
      <c r="R19" s="4"/>
      <c r="S19" s="4"/>
      <c r="T19" s="4"/>
      <c r="U19" s="4"/>
      <c r="V19" s="4"/>
      <c r="W19" s="4"/>
      <c r="X19" s="4"/>
      <c r="Y19" s="4"/>
    </row>
    <row r="20" spans="1:25" s="3" customFormat="1" ht="20.100000000000001" customHeight="1" x14ac:dyDescent="0.2">
      <c r="A20" s="239" t="s">
        <v>32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38"/>
      <c r="O20" s="28"/>
      <c r="R20" s="4"/>
      <c r="S20" s="4"/>
      <c r="T20" s="4"/>
      <c r="U20" s="4"/>
      <c r="V20" s="4"/>
      <c r="W20" s="4"/>
      <c r="X20" s="4"/>
      <c r="Y20" s="4"/>
    </row>
    <row r="21" spans="1:25" s="3" customFormat="1" ht="7.35" customHeight="1" x14ac:dyDescent="0.2">
      <c r="A21" s="5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1"/>
      <c r="N21" s="37"/>
      <c r="O21" s="37"/>
      <c r="R21" s="4"/>
      <c r="S21" s="4"/>
      <c r="T21" s="4"/>
      <c r="U21" s="4"/>
      <c r="V21" s="4"/>
      <c r="W21" s="4"/>
      <c r="X21" s="4"/>
      <c r="Y21" s="4"/>
    </row>
    <row r="22" spans="1:25" s="25" customFormat="1" ht="17.100000000000001" customHeight="1" x14ac:dyDescent="0.25">
      <c r="A22" s="52"/>
      <c r="B22" s="242" t="s">
        <v>26</v>
      </c>
      <c r="C22" s="242"/>
      <c r="D22" s="243"/>
      <c r="E22" s="244"/>
      <c r="F22" s="244"/>
      <c r="G22" s="244"/>
      <c r="H22" s="244"/>
      <c r="I22" s="244"/>
      <c r="J22" s="244"/>
      <c r="K22" s="244"/>
      <c r="L22" s="244"/>
      <c r="M22" s="245"/>
      <c r="N22" s="44"/>
      <c r="O22" s="66"/>
      <c r="P22" s="9"/>
      <c r="Q22" s="9"/>
      <c r="R22" s="69"/>
      <c r="S22" s="70"/>
      <c r="T22" s="70"/>
      <c r="U22" s="69"/>
      <c r="V22" s="71"/>
      <c r="W22" s="72"/>
      <c r="X22" s="73"/>
      <c r="Y22" s="71"/>
    </row>
    <row r="23" spans="1:25" s="25" customFormat="1" ht="17.100000000000001" customHeight="1" x14ac:dyDescent="0.25">
      <c r="A23" s="52"/>
      <c r="B23" s="242" t="s">
        <v>27</v>
      </c>
      <c r="C23" s="242"/>
      <c r="D23" s="243"/>
      <c r="E23" s="244"/>
      <c r="F23" s="244"/>
      <c r="G23" s="244"/>
      <c r="H23" s="244"/>
      <c r="I23" s="244"/>
      <c r="J23" s="244"/>
      <c r="K23" s="244"/>
      <c r="L23" s="244"/>
      <c r="M23" s="245"/>
      <c r="N23" s="44"/>
      <c r="O23" s="66"/>
      <c r="P23" s="9"/>
      <c r="Q23" s="9"/>
      <c r="R23" s="69"/>
      <c r="S23" s="70"/>
      <c r="T23" s="70"/>
      <c r="U23" s="69"/>
      <c r="V23" s="71"/>
      <c r="W23" s="72"/>
      <c r="X23" s="73"/>
      <c r="Y23" s="71"/>
    </row>
    <row r="24" spans="1:25" s="25" customFormat="1" ht="17.100000000000001" customHeight="1" x14ac:dyDescent="0.25">
      <c r="A24" s="52"/>
      <c r="B24" s="242" t="s">
        <v>28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5"/>
      <c r="N24" s="44"/>
      <c r="O24" s="67"/>
      <c r="P24" s="9"/>
      <c r="Q24" s="9"/>
      <c r="R24" s="69"/>
      <c r="S24" s="70"/>
      <c r="T24" s="70"/>
      <c r="U24" s="74"/>
      <c r="V24" s="71"/>
      <c r="W24" s="72"/>
      <c r="X24" s="73"/>
      <c r="Y24" s="71"/>
    </row>
    <row r="25" spans="1:25" s="25" customFormat="1" ht="17.100000000000001" customHeight="1" x14ac:dyDescent="0.25">
      <c r="A25" s="52"/>
      <c r="B25" s="242" t="s">
        <v>29</v>
      </c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245"/>
      <c r="N25" s="44"/>
      <c r="O25" s="44"/>
      <c r="R25" s="71"/>
      <c r="S25" s="70"/>
      <c r="T25" s="71"/>
      <c r="U25" s="71"/>
      <c r="V25" s="71"/>
      <c r="W25" s="71"/>
      <c r="X25" s="71"/>
      <c r="Y25" s="71"/>
    </row>
    <row r="26" spans="1:25" s="25" customFormat="1" ht="17.100000000000001" customHeight="1" x14ac:dyDescent="0.25">
      <c r="A26" s="52"/>
      <c r="B26" s="242" t="s">
        <v>30</v>
      </c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245"/>
      <c r="N26" s="44"/>
      <c r="O26" s="44"/>
      <c r="R26" s="71"/>
      <c r="S26" s="70"/>
      <c r="T26" s="71"/>
      <c r="U26" s="71"/>
      <c r="V26" s="71"/>
      <c r="W26" s="71"/>
      <c r="X26" s="71"/>
      <c r="Y26" s="71"/>
    </row>
    <row r="27" spans="1:25" s="3" customFormat="1" ht="7.35" customHeight="1" x14ac:dyDescent="0.2">
      <c r="A27" s="5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1"/>
      <c r="N27" s="37"/>
      <c r="O27" s="37"/>
      <c r="R27" s="4"/>
      <c r="S27" s="70"/>
      <c r="T27" s="4"/>
      <c r="U27" s="4"/>
      <c r="V27" s="4"/>
      <c r="W27" s="4"/>
      <c r="X27" s="4"/>
      <c r="Y27" s="4"/>
    </row>
    <row r="28" spans="1:25" s="3" customFormat="1" ht="23.1" customHeight="1" x14ac:dyDescent="0.2">
      <c r="A28" s="50"/>
      <c r="B28" s="251" t="s">
        <v>49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2"/>
      <c r="N28" s="39"/>
      <c r="O28" s="39"/>
      <c r="R28" s="4"/>
      <c r="S28" s="4"/>
      <c r="T28" s="4"/>
      <c r="U28" s="4"/>
      <c r="V28" s="4"/>
      <c r="W28" s="4"/>
      <c r="X28" s="4"/>
      <c r="Y28" s="4"/>
    </row>
    <row r="29" spans="1:25" s="3" customFormat="1" ht="7.35" customHeight="1" x14ac:dyDescent="0.2">
      <c r="A29" s="50"/>
      <c r="B29" s="5"/>
      <c r="C29" s="5"/>
      <c r="D29" s="5"/>
      <c r="E29" s="5"/>
      <c r="F29" s="20"/>
      <c r="G29" s="20"/>
      <c r="H29" s="20"/>
      <c r="I29" s="23"/>
      <c r="J29" s="23"/>
      <c r="K29" s="24"/>
      <c r="L29" s="24"/>
      <c r="M29" s="55"/>
      <c r="N29" s="24"/>
      <c r="O29" s="24"/>
      <c r="X29" s="16"/>
      <c r="Y29" s="17"/>
    </row>
    <row r="30" spans="1:25" s="3" customFormat="1" ht="7.35" customHeight="1" x14ac:dyDescent="0.2">
      <c r="A30" s="50"/>
      <c r="B30" s="5"/>
      <c r="C30" s="5"/>
      <c r="D30" s="5"/>
      <c r="E30" s="5"/>
      <c r="F30" s="20"/>
      <c r="G30" s="20"/>
      <c r="H30" s="20"/>
      <c r="I30" s="23"/>
      <c r="J30" s="23"/>
      <c r="K30" s="24"/>
      <c r="L30" s="24"/>
      <c r="M30" s="55"/>
      <c r="N30" s="24"/>
      <c r="O30" s="24"/>
      <c r="X30" s="16"/>
      <c r="Y30" s="17"/>
    </row>
    <row r="31" spans="1:25" s="3" customFormat="1" ht="18" customHeight="1" x14ac:dyDescent="0.2">
      <c r="A31" s="193" t="s">
        <v>63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5"/>
      <c r="N31" s="34"/>
      <c r="O31" s="34"/>
    </row>
    <row r="32" spans="1:25" s="3" customFormat="1" ht="7.35" customHeight="1" x14ac:dyDescent="0.2">
      <c r="A32" s="4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8"/>
      <c r="N32" s="2"/>
      <c r="O32" s="2"/>
    </row>
    <row r="33" spans="1:25" s="3" customFormat="1" ht="28.35" customHeight="1" x14ac:dyDescent="0.2">
      <c r="A33" s="49"/>
      <c r="B33" s="196" t="s">
        <v>50</v>
      </c>
      <c r="C33" s="249"/>
      <c r="D33" s="249"/>
      <c r="E33" s="249"/>
      <c r="F33" s="249"/>
      <c r="G33" s="249"/>
      <c r="H33" s="249"/>
      <c r="I33" s="249"/>
      <c r="J33" s="249"/>
      <c r="K33" s="253">
        <f ca="1">'PoC-Antigen-Tests'!P44</f>
        <v>0</v>
      </c>
      <c r="L33" s="253"/>
      <c r="M33" s="254"/>
      <c r="N33" s="42"/>
      <c r="O33" s="42"/>
    </row>
    <row r="34" spans="1:25" s="3" customFormat="1" ht="28.35" customHeight="1" x14ac:dyDescent="0.2">
      <c r="A34" s="49"/>
      <c r="B34" s="196" t="s">
        <v>65</v>
      </c>
      <c r="C34" s="249"/>
      <c r="D34" s="249"/>
      <c r="E34" s="249"/>
      <c r="F34" s="249"/>
      <c r="G34" s="249"/>
      <c r="H34" s="249"/>
      <c r="I34" s="249"/>
      <c r="J34" s="249"/>
      <c r="K34" s="253">
        <f ca="1">Durchführungsaufwendungen!D16</f>
        <v>0</v>
      </c>
      <c r="L34" s="253"/>
      <c r="M34" s="254"/>
      <c r="N34" s="42"/>
      <c r="O34" s="42"/>
    </row>
    <row r="35" spans="1:25" s="3" customFormat="1" ht="28.35" customHeight="1" x14ac:dyDescent="0.2">
      <c r="A35" s="49"/>
      <c r="B35" s="260" t="s">
        <v>51</v>
      </c>
      <c r="C35" s="261"/>
      <c r="D35" s="261"/>
      <c r="E35" s="261"/>
      <c r="F35" s="261"/>
      <c r="G35" s="261"/>
      <c r="H35" s="261"/>
      <c r="I35" s="261"/>
      <c r="J35" s="261"/>
      <c r="K35" s="230">
        <f ca="1">K33+K34</f>
        <v>0</v>
      </c>
      <c r="L35" s="230"/>
      <c r="M35" s="231"/>
      <c r="N35" s="42"/>
      <c r="O35" s="42"/>
    </row>
    <row r="36" spans="1:25" s="3" customFormat="1" ht="7.35" customHeight="1" x14ac:dyDescent="0.2">
      <c r="A36" s="50"/>
      <c r="B36" s="5"/>
      <c r="C36" s="5"/>
      <c r="D36" s="5"/>
      <c r="E36" s="5"/>
      <c r="F36" s="20"/>
      <c r="G36" s="20"/>
      <c r="H36" s="20"/>
      <c r="I36" s="23"/>
      <c r="J36" s="23"/>
      <c r="K36" s="24"/>
      <c r="L36" s="24"/>
      <c r="M36" s="55"/>
      <c r="N36" s="24"/>
      <c r="O36" s="24"/>
      <c r="X36" s="16"/>
      <c r="Y36" s="17"/>
    </row>
    <row r="37" spans="1:25" s="3" customFormat="1" ht="7.35" customHeight="1" x14ac:dyDescent="0.2">
      <c r="A37" s="50"/>
      <c r="B37" s="5"/>
      <c r="C37" s="5"/>
      <c r="D37" s="5"/>
      <c r="E37" s="5"/>
      <c r="F37" s="20"/>
      <c r="G37" s="20"/>
      <c r="H37" s="20"/>
      <c r="I37" s="23"/>
      <c r="J37" s="23"/>
      <c r="K37" s="24"/>
      <c r="L37" s="24"/>
      <c r="M37" s="55"/>
      <c r="N37" s="24"/>
      <c r="O37" s="24"/>
      <c r="X37" s="16"/>
      <c r="Y37" s="17"/>
    </row>
    <row r="38" spans="1:25" s="3" customFormat="1" ht="17.100000000000001" customHeight="1" x14ac:dyDescent="0.2">
      <c r="A38" s="50"/>
      <c r="B38" s="238" t="s">
        <v>25</v>
      </c>
      <c r="C38" s="238"/>
      <c r="D38" s="238"/>
      <c r="E38" s="5"/>
      <c r="F38" s="20"/>
      <c r="G38" s="20"/>
      <c r="H38" s="20"/>
      <c r="I38" s="23"/>
      <c r="J38" s="23"/>
      <c r="K38" s="24"/>
      <c r="L38" s="24"/>
      <c r="M38" s="55"/>
      <c r="N38" s="24"/>
      <c r="O38" s="24"/>
    </row>
    <row r="39" spans="1:25" s="3" customFormat="1" ht="24" customHeight="1" x14ac:dyDescent="0.2">
      <c r="A39" s="50"/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4"/>
      <c r="N39" s="8"/>
      <c r="O39" s="8"/>
      <c r="V39" s="4"/>
    </row>
    <row r="40" spans="1:25" s="3" customFormat="1" ht="21.6" customHeight="1" x14ac:dyDescent="0.2">
      <c r="A40" s="50"/>
      <c r="B40" s="235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40"/>
      <c r="O40" s="40"/>
      <c r="P40" s="4"/>
    </row>
    <row r="41" spans="1:25" s="3" customFormat="1" ht="7.35" customHeight="1" x14ac:dyDescent="0.2">
      <c r="A41" s="5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1"/>
      <c r="N41" s="37"/>
      <c r="O41" s="37"/>
      <c r="P41" s="4"/>
    </row>
    <row r="42" spans="1:25" s="3" customFormat="1" ht="7.35" customHeight="1" x14ac:dyDescent="0.2">
      <c r="A42" s="5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1"/>
      <c r="N42" s="37"/>
      <c r="O42" s="37"/>
      <c r="P42" s="4"/>
    </row>
    <row r="43" spans="1:25" s="3" customFormat="1" ht="32.450000000000003" customHeight="1" x14ac:dyDescent="0.2">
      <c r="A43" s="255" t="s">
        <v>22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7"/>
      <c r="N43" s="68"/>
      <c r="O43" s="68"/>
      <c r="P43" s="4"/>
    </row>
    <row r="44" spans="1:25" s="3" customFormat="1" ht="27" customHeight="1" x14ac:dyDescent="0.25">
      <c r="A44" s="56"/>
      <c r="B44" s="188" t="s">
        <v>87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9"/>
      <c r="N44" s="113"/>
      <c r="O44" s="113"/>
    </row>
    <row r="45" spans="1:25" s="3" customFormat="1" ht="28.5" customHeight="1" x14ac:dyDescent="0.25">
      <c r="A45" s="56"/>
      <c r="B45" s="188" t="s">
        <v>62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9"/>
      <c r="N45" s="113"/>
      <c r="O45" s="113"/>
    </row>
    <row r="46" spans="1:25" s="3" customFormat="1" ht="29.1" customHeight="1" x14ac:dyDescent="0.25">
      <c r="A46" s="56"/>
      <c r="B46" s="188" t="s">
        <v>86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  <c r="N46" s="113"/>
      <c r="O46" s="113"/>
    </row>
    <row r="47" spans="1:25" s="3" customFormat="1" ht="26.45" customHeight="1" x14ac:dyDescent="0.25">
      <c r="A47" s="56"/>
      <c r="B47" s="188" t="s">
        <v>114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9"/>
      <c r="N47" s="113"/>
      <c r="O47" s="113"/>
      <c r="Q47" s="4"/>
    </row>
    <row r="48" spans="1:25" s="3" customFormat="1" ht="30.6" customHeight="1" x14ac:dyDescent="0.25">
      <c r="A48" s="56"/>
      <c r="B48" s="188" t="s">
        <v>73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  <c r="N48" s="113"/>
      <c r="O48" s="113"/>
      <c r="Q48" s="26"/>
    </row>
    <row r="49" spans="1:20" s="3" customFormat="1" ht="26.1" customHeight="1" x14ac:dyDescent="0.25">
      <c r="A49" s="56"/>
      <c r="B49" s="188" t="s">
        <v>41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9"/>
      <c r="N49" s="113"/>
      <c r="O49" s="113"/>
      <c r="Q49" s="26"/>
    </row>
    <row r="50" spans="1:20" s="3" customFormat="1" ht="1.35" customHeight="1" x14ac:dyDescent="0.25">
      <c r="A50" s="56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6"/>
      <c r="N50" s="113"/>
      <c r="O50" s="113"/>
      <c r="Q50" s="4"/>
    </row>
    <row r="51" spans="1:20" ht="7.35" customHeight="1" x14ac:dyDescent="0.25">
      <c r="A51" s="57"/>
      <c r="B51" s="218"/>
      <c r="C51" s="218"/>
      <c r="D51" s="218"/>
      <c r="E51" s="218"/>
      <c r="F51" s="218"/>
      <c r="G51" s="218"/>
      <c r="H51" s="218"/>
      <c r="I51" s="218"/>
      <c r="J51" s="218"/>
      <c r="K51" s="21"/>
      <c r="L51" s="21"/>
      <c r="M51" s="58"/>
      <c r="N51" s="95"/>
      <c r="O51" s="95"/>
      <c r="Q51" s="109"/>
    </row>
    <row r="52" spans="1:20" ht="19.350000000000001" customHeight="1" x14ac:dyDescent="0.25">
      <c r="A52" s="227" t="s">
        <v>21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9"/>
      <c r="N52" s="34"/>
      <c r="O52" s="34"/>
      <c r="P52" s="111" t="s">
        <v>58</v>
      </c>
      <c r="Q52" s="109" t="s">
        <v>57</v>
      </c>
      <c r="R52" s="63"/>
      <c r="S52" s="63"/>
      <c r="T52" s="63"/>
    </row>
    <row r="53" spans="1:20" ht="43.35" customHeight="1" x14ac:dyDescent="0.25">
      <c r="A53" s="222"/>
      <c r="B53" s="223"/>
      <c r="C53" s="224"/>
      <c r="D53" s="219"/>
      <c r="E53" s="220"/>
      <c r="F53" s="221"/>
      <c r="G53" s="211"/>
      <c r="H53" s="212"/>
      <c r="I53" s="212"/>
      <c r="J53" s="212"/>
      <c r="K53" s="212"/>
      <c r="L53" s="212"/>
      <c r="M53" s="213"/>
      <c r="N53" s="96"/>
      <c r="O53" s="96"/>
      <c r="P53" s="110">
        <f>Durchführungsaufwendungen!O9</f>
        <v>0</v>
      </c>
      <c r="Q53" s="110">
        <f>R53-1</f>
        <v>44377</v>
      </c>
      <c r="R53" s="108">
        <v>44378</v>
      </c>
      <c r="S53" s="63"/>
    </row>
    <row r="54" spans="1:20" ht="15.75" thickBot="1" x14ac:dyDescent="0.3">
      <c r="A54" s="59"/>
      <c r="B54" s="215" t="s">
        <v>12</v>
      </c>
      <c r="C54" s="217"/>
      <c r="D54" s="214" t="s">
        <v>13</v>
      </c>
      <c r="E54" s="215"/>
      <c r="F54" s="217"/>
      <c r="G54" s="214" t="s">
        <v>14</v>
      </c>
      <c r="H54" s="215"/>
      <c r="I54" s="215"/>
      <c r="J54" s="215"/>
      <c r="K54" s="215"/>
      <c r="L54" s="215"/>
      <c r="M54" s="216"/>
      <c r="N54" s="32"/>
      <c r="O54" s="32"/>
      <c r="P54" s="109"/>
    </row>
  </sheetData>
  <sheetProtection algorithmName="SHA-512" hashValue="tZdwLJiqGLX/S2jEmU+lyFhkk839MxKhC/9uY7Pw9m6NeOW50Lux1RQCB0MK3Rqgz2cuHQu6/btKXP4fnK6oDA==" saltValue="03xBs6d2NcDvTgIkUDjrGA==" spinCount="100000" sheet="1" objects="1" scenarios="1" selectLockedCells="1"/>
  <mergeCells count="72">
    <mergeCell ref="A43:M43"/>
    <mergeCell ref="B12:C12"/>
    <mergeCell ref="B13:C13"/>
    <mergeCell ref="D12:I12"/>
    <mergeCell ref="D26:M26"/>
    <mergeCell ref="B14:C14"/>
    <mergeCell ref="B15:C15"/>
    <mergeCell ref="D13:I13"/>
    <mergeCell ref="D14:I14"/>
    <mergeCell ref="J15:M15"/>
    <mergeCell ref="J16:M16"/>
    <mergeCell ref="B35:J35"/>
    <mergeCell ref="A31:M31"/>
    <mergeCell ref="K33:M33"/>
    <mergeCell ref="D15:I15"/>
    <mergeCell ref="D16:I16"/>
    <mergeCell ref="D17:I17"/>
    <mergeCell ref="B33:J33"/>
    <mergeCell ref="B34:J34"/>
    <mergeCell ref="B16:C16"/>
    <mergeCell ref="B17:C17"/>
    <mergeCell ref="J17:M17"/>
    <mergeCell ref="B28:M28"/>
    <mergeCell ref="K34:M34"/>
    <mergeCell ref="K35:M35"/>
    <mergeCell ref="D10:I10"/>
    <mergeCell ref="J13:M13"/>
    <mergeCell ref="J14:M14"/>
    <mergeCell ref="B39:M40"/>
    <mergeCell ref="B38:D38"/>
    <mergeCell ref="A20:M20"/>
    <mergeCell ref="B22:C22"/>
    <mergeCell ref="B23:C23"/>
    <mergeCell ref="B24:C24"/>
    <mergeCell ref="B25:C25"/>
    <mergeCell ref="B26:C26"/>
    <mergeCell ref="D22:M22"/>
    <mergeCell ref="D23:M23"/>
    <mergeCell ref="D24:M24"/>
    <mergeCell ref="D25:M25"/>
    <mergeCell ref="D11:I11"/>
    <mergeCell ref="J12:M12"/>
    <mergeCell ref="G53:M53"/>
    <mergeCell ref="G54:M54"/>
    <mergeCell ref="D54:F54"/>
    <mergeCell ref="B51:J51"/>
    <mergeCell ref="D53:F53"/>
    <mergeCell ref="B54:C54"/>
    <mergeCell ref="A53:C53"/>
    <mergeCell ref="B50:M50"/>
    <mergeCell ref="A52:M52"/>
    <mergeCell ref="B45:M45"/>
    <mergeCell ref="B46:M46"/>
    <mergeCell ref="B47:M47"/>
    <mergeCell ref="B48:M48"/>
    <mergeCell ref="B49:M49"/>
    <mergeCell ref="D9:I9"/>
    <mergeCell ref="B44:M44"/>
    <mergeCell ref="A1:M1"/>
    <mergeCell ref="A4:M4"/>
    <mergeCell ref="B9:C9"/>
    <mergeCell ref="B10:C10"/>
    <mergeCell ref="B11:C11"/>
    <mergeCell ref="A2:M2"/>
    <mergeCell ref="B6:C6"/>
    <mergeCell ref="D6:I6"/>
    <mergeCell ref="J6:M6"/>
    <mergeCell ref="J9:M9"/>
    <mergeCell ref="J10:M10"/>
    <mergeCell ref="J11:M11"/>
    <mergeCell ref="J8:M8"/>
    <mergeCell ref="D8:I8"/>
  </mergeCells>
  <conditionalFormatting sqref="D9:I17">
    <cfRule type="expression" dxfId="35" priority="33">
      <formula>($D$6)="Angebot zur Unterstützung im Alltag"</formula>
    </cfRule>
  </conditionalFormatting>
  <conditionalFormatting sqref="D24:O26 D22:N23">
    <cfRule type="expression" dxfId="34" priority="17">
      <formula>$D$6="Angebot zur Unterstützung im Alltag"</formula>
    </cfRule>
  </conditionalFormatting>
  <conditionalFormatting sqref="J15:O16 J17:N17">
    <cfRule type="expression" dxfId="33" priority="5">
      <formula>($D$6="Angebot zur Unterstützung im Alltag")</formula>
    </cfRule>
  </conditionalFormatting>
  <conditionalFormatting sqref="D6:I6">
    <cfRule type="expression" dxfId="32" priority="1">
      <formula>$D$6&gt;0</formula>
    </cfRule>
  </conditionalFormatting>
  <dataValidations count="5">
    <dataValidation type="custom" allowBlank="1" showInputMessage="1" showErrorMessage="1" sqref="S53" xr:uid="{00000000-0002-0000-0000-000000000000}">
      <formula1>D53&gt;=#REF!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3" xr:uid="{00000000-0002-0000-0000-000001000000}">
      <formula1>R53</formula1>
      <formula2>R54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3" xr:uid="{00000000-0002-0000-0000-000002000000}">
      <formula1>#REF!</formula1>
      <formula2>S54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3" xr:uid="{00000000-0002-0000-0000-000003000000}">
      <formula1>P53</formula1>
      <formula2>Q53</formula2>
    </dataValidation>
    <dataValidation type="list" allowBlank="1" showInputMessage="1" showErrorMessage="1" error="Bitte das Dropdownmenü über den Pfeil am rechten Rand des Feldes öffnen" sqref="D6:I6" xr:uid="{00000000-0002-0000-0000-000004000000}">
      <formula1>$P$9:$P$14</formula1>
    </dataValidation>
  </dataValidations>
  <pageMargins left="0.7" right="0.7" top="0.75" bottom="0.75" header="0.3" footer="0.3"/>
  <pageSetup paperSize="9" scale="65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2"/>
  <sheetViews>
    <sheetView showGridLines="0" zoomScale="80" zoomScaleNormal="80" zoomScaleSheetLayoutView="50" workbookViewId="0">
      <selection activeCell="D6" sqref="D6:E6"/>
    </sheetView>
  </sheetViews>
  <sheetFormatPr baseColWidth="10" defaultColWidth="8.85546875" defaultRowHeight="15" x14ac:dyDescent="0.25"/>
  <cols>
    <col min="1" max="1" width="1.42578125" style="22" customWidth="1"/>
    <col min="2" max="4" width="17.5703125" style="22" customWidth="1"/>
    <col min="5" max="5" width="7.5703125" style="22" customWidth="1"/>
    <col min="6" max="6" width="16" style="22" customWidth="1"/>
    <col min="7" max="7" width="9.85546875" style="22" customWidth="1"/>
    <col min="8" max="8" width="12" style="22" customWidth="1"/>
    <col min="9" max="10" width="20.5703125" style="22" customWidth="1"/>
    <col min="11" max="11" width="23.5703125" style="22" customWidth="1"/>
    <col min="12" max="12" width="5.42578125" style="22" customWidth="1"/>
    <col min="13" max="13" width="46.42578125" style="22" customWidth="1"/>
    <col min="14" max="14" width="13.85546875" style="22" customWidth="1"/>
    <col min="15" max="15" width="10.5703125" style="22" hidden="1" customWidth="1"/>
    <col min="16" max="16" width="15.42578125" style="22" hidden="1" customWidth="1"/>
    <col min="17" max="17" width="13.140625" style="22" hidden="1" customWidth="1"/>
    <col min="18" max="18" width="16.5703125" style="22" hidden="1" customWidth="1"/>
    <col min="19" max="19" width="18.5703125" style="22" hidden="1" customWidth="1"/>
    <col min="20" max="20" width="16.5703125" style="22" hidden="1" customWidth="1"/>
    <col min="21" max="21" width="27.5703125" style="22" hidden="1" customWidth="1"/>
    <col min="22" max="22" width="16.140625" style="22" hidden="1" customWidth="1"/>
    <col min="23" max="23" width="15.5703125" style="22" hidden="1" customWidth="1"/>
    <col min="24" max="24" width="20.42578125" style="22" hidden="1" customWidth="1"/>
    <col min="25" max="25" width="8.85546875" style="22" hidden="1" customWidth="1"/>
    <col min="26" max="26" width="15.5703125" style="22" hidden="1" customWidth="1"/>
    <col min="27" max="27" width="17" style="22" customWidth="1"/>
    <col min="28" max="29" width="12.42578125" style="22" bestFit="1" customWidth="1"/>
    <col min="30" max="16384" width="8.85546875" style="22"/>
  </cols>
  <sheetData>
    <row r="1" spans="1:26" s="3" customFormat="1" ht="38.1" customHeight="1" x14ac:dyDescent="0.2">
      <c r="A1" s="190" t="s">
        <v>68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31"/>
    </row>
    <row r="2" spans="1:26" s="3" customFormat="1" ht="108" customHeight="1" x14ac:dyDescent="0.2">
      <c r="A2" s="269" t="s">
        <v>120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33"/>
      <c r="P2" s="316" t="s">
        <v>92</v>
      </c>
      <c r="Q2" s="341" t="s">
        <v>93</v>
      </c>
      <c r="S2" s="318" t="s">
        <v>96</v>
      </c>
      <c r="U2" s="338" t="s">
        <v>107</v>
      </c>
      <c r="X2" s="20"/>
      <c r="Y2" s="37"/>
      <c r="Z2" s="37"/>
    </row>
    <row r="3" spans="1:26" s="3" customFormat="1" ht="7.35" customHeight="1" x14ac:dyDescent="0.2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6"/>
      <c r="O3" s="31"/>
      <c r="P3" s="317"/>
      <c r="Q3" s="342"/>
      <c r="S3" s="319"/>
      <c r="U3" s="339"/>
      <c r="X3" s="20"/>
      <c r="Y3" s="37"/>
      <c r="Z3" s="37"/>
    </row>
    <row r="4" spans="1:26" s="6" customFormat="1" ht="18" customHeight="1" x14ac:dyDescent="0.25">
      <c r="A4" s="239" t="s">
        <v>52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38"/>
      <c r="P4" s="317"/>
      <c r="Q4" s="342"/>
      <c r="S4" s="319"/>
      <c r="U4" s="340"/>
      <c r="V4" s="168">
        <v>43983</v>
      </c>
      <c r="X4" s="20"/>
      <c r="Y4" s="182"/>
      <c r="Z4" s="182"/>
    </row>
    <row r="5" spans="1:26" s="3" customFormat="1" ht="7.35" customHeight="1" x14ac:dyDescent="0.2">
      <c r="A5" s="5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37"/>
      <c r="P5" s="122"/>
      <c r="Q5" s="124"/>
      <c r="S5" s="127"/>
      <c r="X5" s="37"/>
      <c r="Y5" s="37"/>
      <c r="Z5" s="37"/>
    </row>
    <row r="6" spans="1:26" s="3" customFormat="1" ht="45" customHeight="1" x14ac:dyDescent="0.2">
      <c r="A6" s="50"/>
      <c r="B6" s="267" t="s">
        <v>78</v>
      </c>
      <c r="C6" s="268"/>
      <c r="D6" s="280"/>
      <c r="E6" s="281"/>
      <c r="F6" s="76"/>
      <c r="G6" s="284" t="s">
        <v>40</v>
      </c>
      <c r="H6" s="284"/>
      <c r="I6" s="284"/>
      <c r="J6" s="117"/>
      <c r="K6" s="80"/>
      <c r="L6" s="286" t="s">
        <v>115</v>
      </c>
      <c r="M6" s="287"/>
      <c r="N6" s="77" t="str">
        <f>IF(J6&lt;&gt;0,IF($V$28&gt;=P6,ROUND($J$6*$S$6,0),""),"")</f>
        <v/>
      </c>
      <c r="O6" s="78"/>
      <c r="P6" s="123">
        <v>44119</v>
      </c>
      <c r="Q6" s="125" t="e">
        <f>N6/31</f>
        <v>#VALUE!</v>
      </c>
      <c r="S6" s="118">
        <f>Deckblatt!Q6</f>
        <v>0</v>
      </c>
      <c r="U6" s="166" t="s">
        <v>108</v>
      </c>
      <c r="V6" s="167">
        <v>44286</v>
      </c>
      <c r="X6" s="330"/>
      <c r="Y6" s="37"/>
      <c r="Z6" s="37"/>
    </row>
    <row r="7" spans="1:26" s="3" customFormat="1" ht="7.35" customHeight="1" x14ac:dyDescent="0.2">
      <c r="A7" s="50"/>
      <c r="B7" s="5"/>
      <c r="C7" s="5"/>
      <c r="D7" s="5"/>
      <c r="E7" s="5"/>
      <c r="F7" s="5"/>
      <c r="G7" s="7"/>
      <c r="H7" s="7"/>
      <c r="I7" s="5"/>
      <c r="J7" s="5"/>
      <c r="K7" s="8"/>
      <c r="L7" s="5"/>
      <c r="M7" s="5"/>
      <c r="N7" s="53"/>
      <c r="O7" s="40"/>
      <c r="P7" s="5"/>
      <c r="Q7" s="124"/>
      <c r="X7" s="330"/>
      <c r="Y7" s="37"/>
      <c r="Z7" s="37"/>
    </row>
    <row r="8" spans="1:26" s="3" customFormat="1" ht="45" customHeight="1" x14ac:dyDescent="0.2">
      <c r="A8" s="50"/>
      <c r="B8" s="267" t="s">
        <v>79</v>
      </c>
      <c r="C8" s="268"/>
      <c r="D8" s="282"/>
      <c r="E8" s="283"/>
      <c r="F8" s="76"/>
      <c r="G8" s="285" t="s">
        <v>88</v>
      </c>
      <c r="H8" s="285"/>
      <c r="I8" s="285"/>
      <c r="J8" s="184"/>
      <c r="K8" s="80"/>
      <c r="L8" s="286" t="s">
        <v>91</v>
      </c>
      <c r="M8" s="287"/>
      <c r="N8" s="79" t="str">
        <f>IF(V28&lt;&gt;0,IF(V30&lt;&gt;0,IF(V34&lt;&gt;0,ROUNDUP(X42*J8,0),""),""),"")</f>
        <v/>
      </c>
      <c r="O8" s="80"/>
      <c r="P8" s="119"/>
      <c r="Q8" s="126">
        <f>J8/30.42</f>
        <v>0</v>
      </c>
      <c r="S8" s="121"/>
      <c r="T8" s="163"/>
      <c r="U8" s="17"/>
      <c r="X8" s="330"/>
      <c r="Y8" s="37"/>
      <c r="Z8" s="37"/>
    </row>
    <row r="9" spans="1:26" s="3" customFormat="1" ht="7.35" customHeight="1" x14ac:dyDescent="0.2">
      <c r="A9" s="5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1"/>
      <c r="O9" s="37"/>
      <c r="X9" s="330"/>
      <c r="Y9" s="37"/>
      <c r="Z9" s="37"/>
    </row>
    <row r="10" spans="1:26" s="3" customFormat="1" ht="7.35" customHeight="1" x14ac:dyDescent="0.2">
      <c r="A10" s="5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1"/>
      <c r="O10" s="37"/>
      <c r="X10" s="330"/>
      <c r="Y10" s="330"/>
      <c r="Z10" s="330"/>
    </row>
    <row r="11" spans="1:26" s="9" customFormat="1" ht="18" customHeight="1" x14ac:dyDescent="0.2">
      <c r="A11" s="239" t="s">
        <v>66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1"/>
      <c r="O11" s="38"/>
      <c r="P11" s="128" t="s">
        <v>60</v>
      </c>
      <c r="Q11" s="129"/>
      <c r="R11" s="64"/>
      <c r="S11" s="64"/>
      <c r="T11" s="324" t="s">
        <v>100</v>
      </c>
      <c r="U11" s="29"/>
      <c r="V11" s="29"/>
      <c r="W11" s="29"/>
      <c r="X11" s="330"/>
      <c r="Y11" s="330"/>
      <c r="Z11" s="330"/>
    </row>
    <row r="12" spans="1:26" s="3" customFormat="1" ht="7.35" customHeight="1" x14ac:dyDescent="0.2">
      <c r="A12" s="5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1"/>
      <c r="O12" s="37"/>
      <c r="P12" s="130"/>
      <c r="Q12" s="131"/>
      <c r="T12" s="325"/>
      <c r="U12" s="29"/>
      <c r="V12" s="29"/>
      <c r="W12" s="29"/>
      <c r="X12" s="29"/>
      <c r="Y12" s="37"/>
      <c r="Z12" s="37"/>
    </row>
    <row r="13" spans="1:26" s="3" customFormat="1" ht="35.450000000000003" customHeight="1" x14ac:dyDescent="0.2">
      <c r="A13" s="50"/>
      <c r="B13" s="272" t="s">
        <v>76</v>
      </c>
      <c r="C13" s="272" t="s">
        <v>77</v>
      </c>
      <c r="D13" s="288" t="s">
        <v>46</v>
      </c>
      <c r="E13" s="288" t="s">
        <v>75</v>
      </c>
      <c r="F13" s="290"/>
      <c r="G13" s="274" t="s">
        <v>44</v>
      </c>
      <c r="H13" s="274"/>
      <c r="I13" s="272" t="s">
        <v>47</v>
      </c>
      <c r="J13" s="292" t="s">
        <v>74</v>
      </c>
      <c r="K13" s="272" t="s">
        <v>45</v>
      </c>
      <c r="L13" s="274" t="s">
        <v>110</v>
      </c>
      <c r="M13" s="274"/>
      <c r="N13" s="275"/>
      <c r="O13" s="41"/>
      <c r="P13" s="132" t="e">
        <f>IF(B16&gt;J15,B16,J15+1)</f>
        <v>#VALUE!</v>
      </c>
      <c r="Q13" s="133" t="s">
        <v>99</v>
      </c>
      <c r="T13" s="325"/>
      <c r="U13" s="29"/>
      <c r="V13" s="333" t="s">
        <v>105</v>
      </c>
      <c r="W13" s="29"/>
      <c r="X13" s="181" t="s">
        <v>109</v>
      </c>
      <c r="Y13" s="37"/>
      <c r="Z13" s="37"/>
    </row>
    <row r="14" spans="1:26" s="3" customFormat="1" ht="22.35" customHeight="1" x14ac:dyDescent="0.25">
      <c r="A14" s="50"/>
      <c r="B14" s="273"/>
      <c r="C14" s="273"/>
      <c r="D14" s="289"/>
      <c r="E14" s="289"/>
      <c r="F14" s="291"/>
      <c r="G14" s="274"/>
      <c r="H14" s="274"/>
      <c r="I14" s="273"/>
      <c r="J14" s="293"/>
      <c r="K14" s="273"/>
      <c r="L14" s="274"/>
      <c r="M14" s="274"/>
      <c r="N14" s="275"/>
      <c r="O14" s="41"/>
      <c r="P14" s="132" t="e">
        <f>IF(B17&gt;J16,B17,J16+1)</f>
        <v>#VALUE!</v>
      </c>
      <c r="Q14" s="134" t="s">
        <v>98</v>
      </c>
      <c r="T14" s="325"/>
      <c r="U14" s="29"/>
      <c r="V14" s="333"/>
      <c r="W14" s="29"/>
      <c r="X14" s="175" t="s">
        <v>16</v>
      </c>
    </row>
    <row r="15" spans="1:26" s="3" customFormat="1" ht="15" customHeight="1" x14ac:dyDescent="0.2">
      <c r="A15" s="50"/>
      <c r="B15" s="81"/>
      <c r="C15" s="81"/>
      <c r="D15" s="82"/>
      <c r="E15" s="276"/>
      <c r="F15" s="277"/>
      <c r="G15" s="278">
        <f>ROUND(IF(D15&gt;0,E15/D15,0),2)</f>
        <v>0</v>
      </c>
      <c r="H15" s="278"/>
      <c r="I15" s="83">
        <f>ROUNDUP(IF($D$6&lt;&gt;0,IF(B15&lt;&gt;0,IF(C15&lt;&gt;0,IF(D15&gt;$N$6,$N$6,D15),0),0),0),0)</f>
        <v>0</v>
      </c>
      <c r="J15" s="91" t="str">
        <f>IF(OR(B15=0,$N$6=0),"",MIN(V40,(DATE(YEAR(P15),MONTH(P15),DAY(P15)+((I15/$N$6*31))))))</f>
        <v/>
      </c>
      <c r="K15" s="84">
        <f>IF($D$6&lt;&gt;0,IF(E15&lt;&gt;0,IF(B15&lt;&gt;0,IF(G15&gt;7,(7*I15),(G15*I15)),0),0),0)</f>
        <v>0</v>
      </c>
      <c r="L15" s="279"/>
      <c r="M15" s="279"/>
      <c r="N15" s="85"/>
      <c r="O15" s="62"/>
      <c r="P15" s="132">
        <f>IF(B15&gt;D6,B15,D6)</f>
        <v>0</v>
      </c>
      <c r="Q15" s="134" t="s">
        <v>97</v>
      </c>
      <c r="S15" s="138" t="s">
        <v>103</v>
      </c>
      <c r="T15" s="151">
        <f>MAX(C15:C17)</f>
        <v>0</v>
      </c>
      <c r="U15" s="29"/>
      <c r="V15" s="333"/>
      <c r="W15" s="29"/>
      <c r="X15" s="174" t="s">
        <v>113</v>
      </c>
    </row>
    <row r="16" spans="1:26" s="3" customFormat="1" ht="15" customHeight="1" x14ac:dyDescent="0.25">
      <c r="A16" s="50"/>
      <c r="B16" s="81"/>
      <c r="C16" s="81"/>
      <c r="D16" s="82"/>
      <c r="E16" s="276"/>
      <c r="F16" s="277"/>
      <c r="G16" s="278">
        <f>ROUND(IF(D16&gt;0,E16/D16,0),2)</f>
        <v>0</v>
      </c>
      <c r="H16" s="278"/>
      <c r="I16" s="83">
        <f>ROUNDUP(IF(C16&lt;&gt;0,IF(D16=0,0,IF(B16&gt;(B15+30),0,IF(IF(SUM($D$15:D16)&gt;=$N$6,$N$6-SUM($I$15:I15),D16)&gt;U20,U20,IF(SUM($D$15:D16)&gt;=$N$6,$N$6-SUM($I$15:I15),D16))))),0)</f>
        <v>0</v>
      </c>
      <c r="J16" s="91" t="str">
        <f>IF(OR(B16=0,D16=0,E16=0),"",IF(OR($J$15=B15+30,$J$15=""),"",IF(I16=0,"",MIN($V$40,(IF(I16=D16,DATE(YEAR(P13),MONTH(P13),DAY(P13)+S16),DATE(YEAR($P$15),MONTH($P$15),DAY($P$15)+30)))))))</f>
        <v/>
      </c>
      <c r="K16" s="84">
        <f>IF($D$6&lt;&gt;0,IF(E16&lt;&gt;0,IF(B16&lt;&gt;0,IF(I15&lt;&gt;0,IF(K15&lt;&gt;0,IF(G16&gt;7,(7*I16),(G16*I16)),0),0),0),0),0)</f>
        <v>0</v>
      </c>
      <c r="L16" s="279"/>
      <c r="M16" s="279"/>
      <c r="N16" s="85"/>
      <c r="O16" s="62"/>
      <c r="P16" s="136">
        <f>(V32-B16+(1))</f>
        <v>31</v>
      </c>
      <c r="Q16" s="320" t="s">
        <v>94</v>
      </c>
      <c r="R16" s="321"/>
      <c r="S16" s="139" t="e">
        <f>I16/Q6</f>
        <v>#VALUE!</v>
      </c>
      <c r="T16" s="151">
        <f>MAX(C24:C43)</f>
        <v>0</v>
      </c>
      <c r="U16" s="29"/>
      <c r="V16" s="333"/>
      <c r="W16" s="29"/>
      <c r="X16" s="175" t="s">
        <v>67</v>
      </c>
    </row>
    <row r="17" spans="1:26" s="3" customFormat="1" ht="15" customHeight="1" x14ac:dyDescent="0.25">
      <c r="A17" s="50"/>
      <c r="B17" s="81"/>
      <c r="C17" s="81"/>
      <c r="D17" s="82"/>
      <c r="E17" s="276"/>
      <c r="F17" s="277"/>
      <c r="G17" s="278">
        <f>ROUND(IF(D17&gt;0,E17/D17,0),2)</f>
        <v>0</v>
      </c>
      <c r="H17" s="278"/>
      <c r="I17" s="83">
        <f>ROUNDUP(IF(C17&lt;&gt;0,IF(D17=0,0,IF(B17&gt;(B15+30),0,IF(IF(SUM($D$15:D17)&gt;=$N$6,$N$6-SUM($I$15:I16),D17)&gt;U17,U17,IF(SUM($D$15:D17)&gt;=$N$6,$N$6-SUM($I$15:I16),D17))))),0)</f>
        <v>0</v>
      </c>
      <c r="J17" s="91" t="str">
        <f>IF(OR(B17=0,D17=0,E17=0),"",IF(OR($J$15=B16+30,$J$15=""),"",IF(I17=0,"",MIN($V$40,(IF(I17=D17,DATE(YEAR(P14),MONTH(P14),DAY(P14)+S17),DATE(YEAR($P$15),MONTH($P$15),DAY($P$15)+30)))))))</f>
        <v/>
      </c>
      <c r="K17" s="84">
        <f>IF($D$6&lt;&gt;0,IF(E17&lt;&gt;0,IF(B17&lt;&gt;0,IF(I16&lt;&gt;0,IF(K16&lt;&gt;0,IF(G17&gt;7,(7*I17),(G17*I17)),0),0),0),0),0)</f>
        <v>0</v>
      </c>
      <c r="L17" s="279"/>
      <c r="M17" s="279"/>
      <c r="N17" s="85"/>
      <c r="O17" s="62"/>
      <c r="P17" s="137">
        <f>(V32-B17)+1</f>
        <v>31</v>
      </c>
      <c r="Q17" s="322" t="s">
        <v>95</v>
      </c>
      <c r="R17" s="323"/>
      <c r="S17" s="135" t="e">
        <f>I17/Q6</f>
        <v>#VALUE!</v>
      </c>
      <c r="T17" s="151">
        <f>MAX(T15,T16)</f>
        <v>0</v>
      </c>
      <c r="U17" s="159" t="e">
        <f>MAX(0,(ROUNDUP((V32-B17+1)*Q6,0)))</f>
        <v>#VALUE!</v>
      </c>
      <c r="V17" s="334"/>
      <c r="W17" s="61"/>
      <c r="X17" s="175" t="s">
        <v>112</v>
      </c>
      <c r="Y17" s="177"/>
      <c r="Z17" s="178"/>
    </row>
    <row r="18" spans="1:26" s="3" customFormat="1" ht="7.35" customHeight="1" x14ac:dyDescent="0.25">
      <c r="A18" s="50"/>
      <c r="B18" s="5"/>
      <c r="C18" s="5"/>
      <c r="D18" s="10"/>
      <c r="E18" s="11"/>
      <c r="F18" s="11"/>
      <c r="G18" s="12"/>
      <c r="H18" s="12"/>
      <c r="I18" s="13"/>
      <c r="J18" s="14"/>
      <c r="K18" s="15"/>
      <c r="L18" s="65"/>
      <c r="M18" s="65"/>
      <c r="N18" s="54"/>
      <c r="O18" s="62"/>
      <c r="P18" s="5"/>
      <c r="T18" s="162"/>
      <c r="U18" s="60"/>
      <c r="V18" s="61"/>
      <c r="W18" s="29"/>
      <c r="X18" s="176"/>
      <c r="Y18" s="179"/>
      <c r="Z18" s="180"/>
    </row>
    <row r="19" spans="1:26" s="3" customFormat="1" ht="7.35" customHeight="1" x14ac:dyDescent="0.2">
      <c r="A19" s="50"/>
      <c r="B19" s="5"/>
      <c r="C19" s="5"/>
      <c r="D19" s="10"/>
      <c r="E19" s="11"/>
      <c r="F19" s="11"/>
      <c r="G19" s="12"/>
      <c r="H19" s="12"/>
      <c r="I19" s="13"/>
      <c r="J19" s="14"/>
      <c r="K19" s="15"/>
      <c r="L19" s="65"/>
      <c r="M19" s="65"/>
      <c r="N19" s="54"/>
      <c r="O19" s="62"/>
      <c r="P19" s="5"/>
      <c r="U19" s="60"/>
      <c r="V19" s="61"/>
      <c r="W19" s="29"/>
      <c r="X19" s="29"/>
    </row>
    <row r="20" spans="1:26" s="3" customFormat="1" ht="18" customHeight="1" x14ac:dyDescent="0.25">
      <c r="A20" s="295" t="s">
        <v>53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7"/>
      <c r="O20" s="62"/>
      <c r="P20" s="4"/>
      <c r="Q20" s="4"/>
      <c r="R20" s="4"/>
      <c r="S20" s="4"/>
      <c r="T20" s="4"/>
      <c r="U20" s="160" t="e">
        <f>MAX(0,ROUNDUP(((V32-B16)+1)*Q6,0))</f>
        <v>#VALUE!</v>
      </c>
      <c r="V20" s="164"/>
      <c r="W20" s="165"/>
      <c r="X20" s="175"/>
    </row>
    <row r="21" spans="1:26" s="3" customFormat="1" ht="7.35" customHeight="1" x14ac:dyDescent="0.2">
      <c r="A21" s="50"/>
      <c r="B21" s="5"/>
      <c r="C21" s="5"/>
      <c r="D21" s="10"/>
      <c r="E21" s="11"/>
      <c r="F21" s="11"/>
      <c r="G21" s="12"/>
      <c r="H21" s="12"/>
      <c r="I21" s="13"/>
      <c r="J21" s="14"/>
      <c r="K21" s="15"/>
      <c r="L21" s="65"/>
      <c r="M21" s="65"/>
      <c r="N21" s="54"/>
      <c r="O21" s="62"/>
      <c r="P21" s="5"/>
      <c r="U21" s="161"/>
      <c r="V21" s="164"/>
      <c r="W21" s="29"/>
      <c r="X21" s="29"/>
    </row>
    <row r="22" spans="1:26" s="3" customFormat="1" ht="35.450000000000003" customHeight="1" x14ac:dyDescent="0.25">
      <c r="A22" s="50"/>
      <c r="B22" s="272" t="s">
        <v>76</v>
      </c>
      <c r="C22" s="292" t="s">
        <v>80</v>
      </c>
      <c r="D22" s="288" t="s">
        <v>19</v>
      </c>
      <c r="E22" s="288" t="s">
        <v>75</v>
      </c>
      <c r="F22" s="290"/>
      <c r="G22" s="274" t="s">
        <v>43</v>
      </c>
      <c r="H22" s="274"/>
      <c r="I22" s="272" t="s">
        <v>48</v>
      </c>
      <c r="J22" s="292" t="s">
        <v>74</v>
      </c>
      <c r="K22" s="272" t="s">
        <v>45</v>
      </c>
      <c r="L22" s="274" t="s">
        <v>110</v>
      </c>
      <c r="M22" s="274"/>
      <c r="N22" s="275"/>
      <c r="O22" s="4"/>
      <c r="P22" s="326" t="s">
        <v>102</v>
      </c>
      <c r="Q22" s="120"/>
      <c r="R22" s="328" t="s">
        <v>101</v>
      </c>
      <c r="U22" s="183" t="s">
        <v>106</v>
      </c>
      <c r="V22" s="337"/>
      <c r="W22" s="337"/>
      <c r="X22" s="4"/>
    </row>
    <row r="23" spans="1:26" s="3" customFormat="1" ht="25.35" customHeight="1" x14ac:dyDescent="0.25">
      <c r="A23" s="50"/>
      <c r="B23" s="273"/>
      <c r="C23" s="293"/>
      <c r="D23" s="289"/>
      <c r="E23" s="289"/>
      <c r="F23" s="291"/>
      <c r="G23" s="274"/>
      <c r="H23" s="274"/>
      <c r="I23" s="273"/>
      <c r="J23" s="293"/>
      <c r="K23" s="273"/>
      <c r="L23" s="274"/>
      <c r="M23" s="274"/>
      <c r="N23" s="275"/>
      <c r="P23" s="327"/>
      <c r="Q23" s="120"/>
      <c r="R23" s="329"/>
      <c r="U23" s="61"/>
    </row>
    <row r="24" spans="1:26" s="3" customFormat="1" ht="15" customHeight="1" x14ac:dyDescent="0.2">
      <c r="A24" s="50"/>
      <c r="B24" s="81"/>
      <c r="C24" s="81"/>
      <c r="D24" s="82"/>
      <c r="E24" s="276"/>
      <c r="F24" s="277"/>
      <c r="G24" s="278">
        <f>ROUND(IF(D24&gt;0,E24/D24,0),2)</f>
        <v>0</v>
      </c>
      <c r="H24" s="278"/>
      <c r="I24" s="83">
        <f>ROUNDUP(IF(C24&lt;&gt;0,IF($D$8&lt;&gt;0,IF(D24&gt;$N$8,$N$8,D24),0),0),0)</f>
        <v>0</v>
      </c>
      <c r="J24" s="91" t="str">
        <f>IF(OR(B24=0,C24=0,D24=0,$J$8=0),"",IF(OR((DATE(YEAR(B24),MONTH(B24),DAY(B24)+((I24/$J$8)*30.42)))&gt;"31.03.2021",SUM($I$24:I24)=$N$8),"31.03.2021",IF(B24&lt;V34,DATE(YEAR(V34),MONTH(V34),DAY(V34)+(I24/$J$8)*30.42),DATE(YEAR(B24),MONTH(B24),DAY(B24)+((I24/$J$8)*30.42)))))</f>
        <v/>
      </c>
      <c r="K24" s="84">
        <f>IF(D8&lt;&gt;0,IF($D$6&lt;&gt;0,IF(E24&lt;&gt;0,IF(B24&lt;&gt;0,IF(G24&gt;7,(7*I24),(G24*I24)),0),0),0),0)</f>
        <v>0</v>
      </c>
      <c r="L24" s="294"/>
      <c r="M24" s="294"/>
      <c r="N24" s="86"/>
      <c r="O24" s="62"/>
      <c r="P24" s="152">
        <f>($V$40-R24)+1</f>
        <v>44256</v>
      </c>
      <c r="R24" s="153">
        <f>IF(B15="",(D6+31),MIN(B15+31,V40))</f>
        <v>31</v>
      </c>
      <c r="S24" s="26"/>
      <c r="T24" s="26"/>
      <c r="U24" s="19"/>
      <c r="V24" s="27"/>
      <c r="W24" s="140" t="s">
        <v>36</v>
      </c>
      <c r="X24" s="146" t="s">
        <v>18</v>
      </c>
    </row>
    <row r="25" spans="1:26" s="3" customFormat="1" ht="15" customHeight="1" x14ac:dyDescent="0.2">
      <c r="A25" s="50"/>
      <c r="B25" s="87"/>
      <c r="C25" s="87"/>
      <c r="D25" s="82"/>
      <c r="E25" s="276"/>
      <c r="F25" s="277"/>
      <c r="G25" s="278">
        <f>ROUND(IF(D25&gt;0,E25/D25,0),2)</f>
        <v>0</v>
      </c>
      <c r="H25" s="278"/>
      <c r="I25" s="88">
        <f>ROUNDUP(IFERROR(IF(C25&lt;&gt;0,IF(IF($D$8&lt;&gt;0,IF(SUM($D$24:D25)&gt;=$N$8,$N$8-SUM($I$24:I24),D25),0)&gt;(P25*$Q$8),P25*$Q$8,IF($D$8&lt;&gt;0,IF(SUM($D$24:D25)&gt;=$N$8,$N$8-SUM($I$24:I24),D25),0))),0),0)</f>
        <v>0</v>
      </c>
      <c r="J25" s="91" t="str">
        <f t="shared" ref="J25:J42" si="0">IF(OR(B25=0,C25=0,D25=0,$J$8=0),"",IF(OR(J24="31.03.2021",J24=""),"",IF(I25=0,"",IF(I25&lt;&gt;D25,"31.03.2021",DATE(YEAR(R25),MONTH(R25),DAY(R25)+((I25/$J$8)*30.42))))))</f>
        <v/>
      </c>
      <c r="K25" s="84">
        <f>IF($D$8&lt;&gt;0,IF($D$6&lt;&gt;0,IF(G25&lt;&gt;0,IF(B25&lt;&gt;0,IF(I24&lt;&gt;0,IF(K24&lt;&gt;0,IF(G25&gt;7,(7*I25),(G25*I25)),0),0),0),0),0),0)</f>
        <v>0</v>
      </c>
      <c r="L25" s="294"/>
      <c r="M25" s="294"/>
      <c r="N25" s="86"/>
      <c r="O25" s="62"/>
      <c r="P25" s="152" t="e">
        <f>IF($V$40-R25&lt;0,0,($V$40-R25)+1)</f>
        <v>#VALUE!</v>
      </c>
      <c r="R25" s="153" t="e">
        <f>IF(B25&gt;J24,MIN(B25,$V$40),MIN($V$40,J24+1))</f>
        <v>#VALUE!</v>
      </c>
      <c r="S25" s="26"/>
      <c r="T25" s="26"/>
      <c r="U25" s="155"/>
      <c r="V25" s="156" t="s">
        <v>13</v>
      </c>
      <c r="W25" s="141" t="s">
        <v>35</v>
      </c>
      <c r="X25" s="147" t="s">
        <v>35</v>
      </c>
    </row>
    <row r="26" spans="1:26" s="3" customFormat="1" ht="15" customHeight="1" x14ac:dyDescent="0.2">
      <c r="A26" s="50"/>
      <c r="B26" s="87"/>
      <c r="C26" s="87"/>
      <c r="D26" s="82"/>
      <c r="E26" s="276"/>
      <c r="F26" s="277"/>
      <c r="G26" s="278">
        <f>ROUND(IF(D26&gt;0,E26/D26,0),2)</f>
        <v>0</v>
      </c>
      <c r="H26" s="278"/>
      <c r="I26" s="88">
        <f>ROUNDUP(IFERROR(IF(C26&lt;&gt;0,IF(IF($D$8&lt;&gt;0,IF(SUM($D$24:D26)&gt;=$N$8,$N$8-SUM($I$24:I25),D26),0)&gt;(P26*$Q$8),P26*$Q$8,IF($D$8&lt;&gt;0,IF(SUM($D$24:D26)&gt;=$N$8,$N$8-SUM($I$24:I25),D26),0))),0),0)</f>
        <v>0</v>
      </c>
      <c r="J26" s="91" t="str">
        <f t="shared" si="0"/>
        <v/>
      </c>
      <c r="K26" s="84">
        <f>IF($D$8&lt;&gt;0,IF($D$6&lt;&gt;0,IF(G26&lt;&gt;0,IF(B26&lt;&gt;0,IF(I25&lt;&gt;0,IF(K25&lt;&gt;0,IF(G26&gt;7,(7*I26),(G26*I26)),0),0),0),0),0),0)</f>
        <v>0</v>
      </c>
      <c r="L26" s="294"/>
      <c r="M26" s="294"/>
      <c r="N26" s="86"/>
      <c r="O26" s="62"/>
      <c r="P26" s="152" t="e">
        <f>IF($V$40-R26&lt;0,0,($V$40-R26)+1)</f>
        <v>#VALUE!</v>
      </c>
      <c r="R26" s="153" t="e">
        <f>IF(B26&gt;J25,MIN(B26,$V$40),MIN($V$40,J25+1))</f>
        <v>#VALUE!</v>
      </c>
      <c r="S26" s="26"/>
      <c r="T26" s="26"/>
      <c r="U26" s="155"/>
      <c r="V26" s="155"/>
      <c r="W26" s="142"/>
      <c r="X26" s="148"/>
    </row>
    <row r="27" spans="1:26" s="3" customFormat="1" ht="15" customHeight="1" x14ac:dyDescent="0.2">
      <c r="A27" s="50"/>
      <c r="B27" s="81"/>
      <c r="C27" s="81"/>
      <c r="D27" s="82"/>
      <c r="E27" s="276"/>
      <c r="F27" s="277"/>
      <c r="G27" s="278">
        <f t="shared" ref="G27:G43" si="1">ROUND(IF(D27&gt;0,E27/D27,0),2)</f>
        <v>0</v>
      </c>
      <c r="H27" s="278"/>
      <c r="I27" s="88">
        <f>ROUNDUP(IFERROR(IF(C27&lt;&gt;0,IF(IF($D$8&lt;&gt;0,IF(SUM($D$24:D27)&gt;=$N$8,$N$8-SUM($I$24:I26),D27),0)&gt;(P27*$Q$8),P27*$Q$8,IF($D$8&lt;&gt;0,IF(SUM($D$24:D27)&gt;=$N$8,$N$8-SUM($I$24:I26),D27),0))),0),0)</f>
        <v>0</v>
      </c>
      <c r="J27" s="91" t="str">
        <f t="shared" si="0"/>
        <v/>
      </c>
      <c r="K27" s="84">
        <f>IF($D$8&lt;&gt;0,IF($D$6&lt;&gt;0,IF(G27&lt;&gt;0,IF(B27&lt;&gt;0,IF(I26&lt;&gt;0,IF(K26&lt;&gt;0,IF(G27&gt;7,(7*I27),(G27*I27)),0),0),0),0),0),0)</f>
        <v>0</v>
      </c>
      <c r="L27" s="294"/>
      <c r="M27" s="294"/>
      <c r="N27" s="86"/>
      <c r="O27" s="62"/>
      <c r="P27" s="152" t="e">
        <f>IF($V$40-R27&lt;0,0,($V$40-R27)+1)</f>
        <v>#VALUE!</v>
      </c>
      <c r="R27" s="153" t="e">
        <f>IF(B27&gt;J26,MIN(B27,$V$40),MIN($V$40,J26+1))</f>
        <v>#VALUE!</v>
      </c>
      <c r="S27" s="26"/>
      <c r="T27" s="26"/>
      <c r="U27" s="156"/>
      <c r="V27" s="155"/>
      <c r="W27" s="143"/>
      <c r="X27" s="148"/>
    </row>
    <row r="28" spans="1:26" s="3" customFormat="1" ht="15" customHeight="1" x14ac:dyDescent="0.2">
      <c r="A28" s="50"/>
      <c r="B28" s="87"/>
      <c r="C28" s="81"/>
      <c r="D28" s="82"/>
      <c r="E28" s="276"/>
      <c r="F28" s="277"/>
      <c r="G28" s="278">
        <f>ROUND(IF(D28&gt;0,E28/D28,0),2)</f>
        <v>0</v>
      </c>
      <c r="H28" s="278"/>
      <c r="I28" s="88">
        <f>ROUNDUP(IFERROR(IF(C28&lt;&gt;0,IF(IF($D$8&lt;&gt;0,IF(SUM($D$24:D28)&gt;=$N$8,$N$8-SUM($I$24:I27),D28),0)&gt;(P28*$Q$8),P28*$Q$8,IF($D$8&lt;&gt;0,IF(SUM($D$24:D28)&gt;=$N$8,$N$8-SUM($I$24:I27),D28),0))),0),0)</f>
        <v>0</v>
      </c>
      <c r="J28" s="91" t="str">
        <f t="shared" si="0"/>
        <v/>
      </c>
      <c r="K28" s="84">
        <f t="shared" ref="K28:K42" si="2">IF($D$8&lt;&gt;0,IF($D$6&lt;&gt;0,IF(G28&lt;&gt;0,IF(B28&lt;&gt;0,IF(I27&lt;&gt;0,IF(K27&lt;&gt;0,IF(G28&gt;7,(7*I28),(G28*I28)),0),0),0),0),0),0)</f>
        <v>0</v>
      </c>
      <c r="L28" s="294"/>
      <c r="M28" s="294"/>
      <c r="N28" s="86"/>
      <c r="O28" s="62"/>
      <c r="P28" s="152" t="e">
        <f>IF($V$40-R28&lt;0,0,($V$40-R28)+1)</f>
        <v>#VALUE!</v>
      </c>
      <c r="R28" s="153" t="e">
        <f>IF(B28&gt;J27,MIN(B28,$V$40),MIN($V$40,J27+1))</f>
        <v>#VALUE!</v>
      </c>
      <c r="S28" s="26"/>
      <c r="T28" s="26"/>
      <c r="U28" s="155" t="s">
        <v>33</v>
      </c>
      <c r="V28" s="156">
        <f>D6</f>
        <v>0</v>
      </c>
      <c r="W28" s="144">
        <f>$V$40-V28+1</f>
        <v>44287</v>
      </c>
      <c r="X28" s="149">
        <f>W28/30.42</f>
        <v>1455.8514135437213</v>
      </c>
    </row>
    <row r="29" spans="1:26" s="3" customFormat="1" ht="15" customHeight="1" x14ac:dyDescent="0.2">
      <c r="A29" s="50"/>
      <c r="B29" s="89"/>
      <c r="C29" s="89"/>
      <c r="D29" s="82"/>
      <c r="E29" s="276"/>
      <c r="F29" s="277"/>
      <c r="G29" s="314">
        <f t="shared" si="1"/>
        <v>0</v>
      </c>
      <c r="H29" s="315"/>
      <c r="I29" s="88">
        <f>ROUNDUP(IFERROR(IF(C29&lt;&gt;0,IF(IF($D$8&lt;&gt;0,IF(SUM($D$24:D29)&gt;=$N$8,$N$8-SUM($I$24:I28),D29),0)&gt;(P29*$Q$8),P29*$Q$8,IF($D$8&lt;&gt;0,IF(SUM($D$24:D29)&gt;=$N$8,$N$8-SUM($I$24:I28),D29),0))),0),0)</f>
        <v>0</v>
      </c>
      <c r="J29" s="91" t="str">
        <f t="shared" si="0"/>
        <v/>
      </c>
      <c r="K29" s="84">
        <f t="shared" si="2"/>
        <v>0</v>
      </c>
      <c r="L29" s="312"/>
      <c r="M29" s="313"/>
      <c r="N29" s="86"/>
      <c r="O29" s="62"/>
      <c r="P29" s="152" t="e">
        <f t="shared" ref="P29:P42" si="3">IF($V$40-R29&lt;0,0,($V$40-R29)+1)</f>
        <v>#VALUE!</v>
      </c>
      <c r="R29" s="153" t="e">
        <f t="shared" ref="R29:R42" si="4">IF(B29&gt;J28,MIN(B29,$V$40),MIN($V$40,J28+1))</f>
        <v>#VALUE!</v>
      </c>
      <c r="S29" s="26"/>
      <c r="T29" s="26"/>
      <c r="U29" s="155"/>
      <c r="V29" s="155"/>
      <c r="W29" s="144"/>
      <c r="X29" s="149"/>
    </row>
    <row r="30" spans="1:26" s="3" customFormat="1" ht="15" customHeight="1" x14ac:dyDescent="0.2">
      <c r="A30" s="50"/>
      <c r="B30" s="89"/>
      <c r="C30" s="89"/>
      <c r="D30" s="82"/>
      <c r="E30" s="276"/>
      <c r="F30" s="277"/>
      <c r="G30" s="314">
        <f>ROUND(IF(D30&gt;0,E30/D30,0),2)</f>
        <v>0</v>
      </c>
      <c r="H30" s="315"/>
      <c r="I30" s="88">
        <f>ROUNDUP(IFERROR(IF(C30&lt;&gt;0,IF(IF($D$8&lt;&gt;0,IF(SUM($D$24:D30)&gt;=$N$8,$N$8-SUM($I$24:I29),D30),0)&gt;(P30*$Q$8),P30*$Q$8,IF($D$8&lt;&gt;0,IF(SUM($D$24:D30)&gt;=$N$8,$N$8-SUM($I$24:I29),D30),0))),0),0)</f>
        <v>0</v>
      </c>
      <c r="J30" s="91" t="str">
        <f t="shared" si="0"/>
        <v/>
      </c>
      <c r="K30" s="84">
        <f t="shared" si="2"/>
        <v>0</v>
      </c>
      <c r="L30" s="312"/>
      <c r="M30" s="313"/>
      <c r="N30" s="86"/>
      <c r="O30" s="62"/>
      <c r="P30" s="152" t="e">
        <f>IF($V$40-R30&lt;0,0,($V$40-R30)+1)</f>
        <v>#VALUE!</v>
      </c>
      <c r="R30" s="153" t="e">
        <f t="shared" si="4"/>
        <v>#VALUE!</v>
      </c>
      <c r="S30" s="26"/>
      <c r="T30" s="26"/>
      <c r="U30" s="155" t="s">
        <v>34</v>
      </c>
      <c r="V30" s="156">
        <f>D8</f>
        <v>0</v>
      </c>
      <c r="W30" s="142">
        <f>V40-V30</f>
        <v>44286</v>
      </c>
      <c r="X30" s="149">
        <f>W30/30.42</f>
        <v>1455.8185404339249</v>
      </c>
    </row>
    <row r="31" spans="1:26" s="3" customFormat="1" ht="15" customHeight="1" x14ac:dyDescent="0.2">
      <c r="A31" s="50"/>
      <c r="B31" s="89"/>
      <c r="C31" s="89"/>
      <c r="D31" s="82"/>
      <c r="E31" s="276"/>
      <c r="F31" s="277"/>
      <c r="G31" s="314">
        <f t="shared" si="1"/>
        <v>0</v>
      </c>
      <c r="H31" s="315"/>
      <c r="I31" s="88">
        <f>ROUNDUP(IFERROR(IF(C31&lt;&gt;0,IF(IF($D$8&lt;&gt;0,IF(SUM($D$24:D31)&gt;=$N$8,$N$8-SUM($I$24:I30),D31),0)&gt;(P31*$Q$8),P31*$Q$8,IF($D$8&lt;&gt;0,IF(SUM($D$24:D31)&gt;=$N$8,$N$8-SUM($I$24:I30),D31),0))),0),0)</f>
        <v>0</v>
      </c>
      <c r="J31" s="91" t="str">
        <f t="shared" si="0"/>
        <v/>
      </c>
      <c r="K31" s="84">
        <f t="shared" si="2"/>
        <v>0</v>
      </c>
      <c r="L31" s="312"/>
      <c r="M31" s="313"/>
      <c r="N31" s="86"/>
      <c r="O31" s="62"/>
      <c r="P31" s="152" t="e">
        <f t="shared" si="3"/>
        <v>#VALUE!</v>
      </c>
      <c r="R31" s="153" t="e">
        <f t="shared" si="4"/>
        <v>#VALUE!</v>
      </c>
      <c r="S31" s="26"/>
      <c r="T31" s="26"/>
      <c r="U31" s="155"/>
      <c r="V31" s="155"/>
      <c r="W31" s="142"/>
      <c r="X31" s="148"/>
    </row>
    <row r="32" spans="1:26" s="3" customFormat="1" ht="15" customHeight="1" x14ac:dyDescent="0.2">
      <c r="A32" s="50"/>
      <c r="B32" s="89"/>
      <c r="C32" s="89"/>
      <c r="D32" s="82"/>
      <c r="E32" s="276"/>
      <c r="F32" s="277"/>
      <c r="G32" s="314">
        <f t="shared" si="1"/>
        <v>0</v>
      </c>
      <c r="H32" s="315"/>
      <c r="I32" s="88">
        <f>ROUNDUP(IFERROR(IF(C32&lt;&gt;0,IF(IF($D$8&lt;&gt;0,IF(SUM($D$24:D32)&gt;=$N$8,$N$8-SUM($I$24:I31),D32),0)&gt;(P32*$Q$8),P32*$Q$8,IF($D$8&lt;&gt;0,IF(SUM($D$24:D32)&gt;=$N$8,$N$8-SUM($I$24:I31),D32),0))),0),0)</f>
        <v>0</v>
      </c>
      <c r="J32" s="91" t="str">
        <f t="shared" si="0"/>
        <v/>
      </c>
      <c r="K32" s="84">
        <f t="shared" si="2"/>
        <v>0</v>
      </c>
      <c r="L32" s="312"/>
      <c r="M32" s="313"/>
      <c r="N32" s="86"/>
      <c r="O32" s="62"/>
      <c r="P32" s="152" t="e">
        <f t="shared" si="3"/>
        <v>#VALUE!</v>
      </c>
      <c r="R32" s="153" t="e">
        <f t="shared" si="4"/>
        <v>#VALUE!</v>
      </c>
      <c r="S32" s="26"/>
      <c r="T32" s="26"/>
      <c r="U32" s="155" t="s">
        <v>37</v>
      </c>
      <c r="V32" s="156">
        <f>MIN(V40,MAX(V36,V28)+30)</f>
        <v>30</v>
      </c>
      <c r="W32" s="142"/>
      <c r="X32" s="148"/>
    </row>
    <row r="33" spans="1:29" s="3" customFormat="1" ht="15" customHeight="1" x14ac:dyDescent="0.2">
      <c r="A33" s="50"/>
      <c r="B33" s="89"/>
      <c r="C33" s="89"/>
      <c r="D33" s="82"/>
      <c r="E33" s="276"/>
      <c r="F33" s="277"/>
      <c r="G33" s="314">
        <f t="shared" si="1"/>
        <v>0</v>
      </c>
      <c r="H33" s="315"/>
      <c r="I33" s="88">
        <f>ROUNDUP(IFERROR(IF(C33&lt;&gt;0,IF(IF($D$8&lt;&gt;0,IF(SUM($D$24:D33)&gt;=$N$8,$N$8-SUM($I$24:I32),D33),0)&gt;(P33*$Q$8),P33*$Q$8,IF($D$8&lt;&gt;0,IF(SUM($D$24:D33)&gt;=$N$8,$N$8-SUM($I$24:I32),D33),0))),0),0)</f>
        <v>0</v>
      </c>
      <c r="J33" s="91" t="str">
        <f t="shared" si="0"/>
        <v/>
      </c>
      <c r="K33" s="84">
        <f t="shared" si="2"/>
        <v>0</v>
      </c>
      <c r="L33" s="312"/>
      <c r="M33" s="313"/>
      <c r="N33" s="86"/>
      <c r="O33" s="62"/>
      <c r="P33" s="152" t="e">
        <f t="shared" si="3"/>
        <v>#VALUE!</v>
      </c>
      <c r="R33" s="153" t="e">
        <f t="shared" si="4"/>
        <v>#VALUE!</v>
      </c>
      <c r="S33" s="26"/>
      <c r="T33" s="26"/>
      <c r="U33" s="155"/>
      <c r="V33" s="155"/>
      <c r="W33" s="142"/>
      <c r="X33" s="148"/>
    </row>
    <row r="34" spans="1:29" s="3" customFormat="1" ht="15" customHeight="1" x14ac:dyDescent="0.2">
      <c r="A34" s="50"/>
      <c r="B34" s="89"/>
      <c r="C34" s="89"/>
      <c r="D34" s="82"/>
      <c r="E34" s="276"/>
      <c r="F34" s="277"/>
      <c r="G34" s="314">
        <f t="shared" si="1"/>
        <v>0</v>
      </c>
      <c r="H34" s="315"/>
      <c r="I34" s="88">
        <f>ROUNDUP(IFERROR(IF(C34&lt;&gt;0,IF(IF($D$8&lt;&gt;0,IF(SUM($D$24:D34)&gt;=$N$8,$N$8-SUM($I$24:I33),D34),0)&gt;(P34*$Q$8),P34*$Q$8,IF($D$8&lt;&gt;0,IF(SUM($D$24:D34)&gt;=$N$8,$N$8-SUM($I$24:I33),D34),0))),0),0)</f>
        <v>0</v>
      </c>
      <c r="J34" s="91" t="str">
        <f t="shared" si="0"/>
        <v/>
      </c>
      <c r="K34" s="84">
        <f t="shared" si="2"/>
        <v>0</v>
      </c>
      <c r="L34" s="312"/>
      <c r="M34" s="313"/>
      <c r="N34" s="86"/>
      <c r="O34" s="62"/>
      <c r="P34" s="152" t="e">
        <f t="shared" si="3"/>
        <v>#VALUE!</v>
      </c>
      <c r="R34" s="153" t="e">
        <f t="shared" si="4"/>
        <v>#VALUE!</v>
      </c>
      <c r="S34" s="26"/>
      <c r="T34" s="26"/>
      <c r="U34" s="155" t="s">
        <v>42</v>
      </c>
      <c r="V34" s="156">
        <f>IF(B15="",0,MIN(V40,MAX(D6+31,B15+31)))</f>
        <v>0</v>
      </c>
      <c r="W34" s="142">
        <f>V40-V34</f>
        <v>44286</v>
      </c>
      <c r="X34" s="149">
        <f>W34/30.42</f>
        <v>1455.8185404339249</v>
      </c>
    </row>
    <row r="35" spans="1:29" s="3" customFormat="1" ht="15" customHeight="1" x14ac:dyDescent="0.2">
      <c r="A35" s="50"/>
      <c r="B35" s="89"/>
      <c r="C35" s="89"/>
      <c r="D35" s="82"/>
      <c r="E35" s="276"/>
      <c r="F35" s="277"/>
      <c r="G35" s="314">
        <f t="shared" si="1"/>
        <v>0</v>
      </c>
      <c r="H35" s="315"/>
      <c r="I35" s="88">
        <f>ROUNDUP(IFERROR(IF(C35&lt;&gt;0,IF(IF($D$8&lt;&gt;0,IF(SUM($D$24:D35)&gt;=$N$8,$N$8-SUM($I$24:I34),D35),0)&gt;(P35*$Q$8),P35*$Q$8,IF($D$8&lt;&gt;0,IF(SUM($D$24:D35)&gt;=$N$8,$N$8-SUM($I$24:I34),D35),0))),0),0)</f>
        <v>0</v>
      </c>
      <c r="J35" s="91" t="str">
        <f t="shared" si="0"/>
        <v/>
      </c>
      <c r="K35" s="84">
        <f>IF($D$8&lt;&gt;0,IF($D$6&lt;&gt;0,IF(G35&lt;&gt;0,IF(B35&lt;&gt;0,IF(I34&lt;&gt;0,IF(K34&lt;&gt;0,IF(G35&gt;7,(7*I35),(G35*I35)),0),0),0),0),0),0)</f>
        <v>0</v>
      </c>
      <c r="L35" s="312"/>
      <c r="M35" s="313"/>
      <c r="N35" s="86"/>
      <c r="O35" s="62"/>
      <c r="P35" s="152" t="e">
        <f t="shared" si="3"/>
        <v>#VALUE!</v>
      </c>
      <c r="R35" s="153" t="e">
        <f t="shared" si="4"/>
        <v>#VALUE!</v>
      </c>
      <c r="S35" s="26"/>
      <c r="T35" s="26"/>
      <c r="U35" s="155"/>
      <c r="V35" s="155"/>
      <c r="W35" s="142"/>
      <c r="X35" s="148"/>
      <c r="AB35" s="29"/>
      <c r="AC35" s="29"/>
    </row>
    <row r="36" spans="1:29" s="3" customFormat="1" ht="15" customHeight="1" x14ac:dyDescent="0.2">
      <c r="A36" s="50"/>
      <c r="B36" s="89"/>
      <c r="C36" s="89"/>
      <c r="D36" s="82"/>
      <c r="E36" s="276"/>
      <c r="F36" s="277"/>
      <c r="G36" s="314">
        <f t="shared" si="1"/>
        <v>0</v>
      </c>
      <c r="H36" s="315"/>
      <c r="I36" s="88">
        <f>ROUNDUP(IFERROR(IF(C36&lt;&gt;0,IF(IF($D$8&lt;&gt;0,IF(SUM($D$24:D36)&gt;=$N$8,$N$8-SUM($I$24:I35),D36),0)&gt;(P36*$Q$8),P36*$Q$8,IF($D$8&lt;&gt;0,IF(SUM($D$24:D36)&gt;=$N$8,$N$8-SUM($I$24:I35),D36),0))),0),0)</f>
        <v>0</v>
      </c>
      <c r="J36" s="91" t="str">
        <f t="shared" si="0"/>
        <v/>
      </c>
      <c r="K36" s="84">
        <f>IF($D$8&lt;&gt;0,IF($D$6&lt;&gt;0,IF(G36&lt;&gt;0,IF(B36&lt;&gt;0,IF(I35&lt;&gt;0,IF(K35&lt;&gt;0,IF(G36&gt;7,(7*I36),(G36*I36)),0),0),0),0),0),0)</f>
        <v>0</v>
      </c>
      <c r="L36" s="312"/>
      <c r="M36" s="313"/>
      <c r="N36" s="86"/>
      <c r="O36" s="62"/>
      <c r="P36" s="152" t="e">
        <f t="shared" si="3"/>
        <v>#VALUE!</v>
      </c>
      <c r="R36" s="153" t="e">
        <f t="shared" si="4"/>
        <v>#VALUE!</v>
      </c>
      <c r="S36" s="26"/>
      <c r="T36" s="26"/>
      <c r="U36" s="155" t="s">
        <v>89</v>
      </c>
      <c r="V36" s="156">
        <f>IF(B15&gt;0,MIN(V40,B15),0)</f>
        <v>0</v>
      </c>
      <c r="W36" s="144">
        <f>V32-V36</f>
        <v>30</v>
      </c>
      <c r="X36" s="149"/>
      <c r="AB36" s="29"/>
      <c r="AC36" s="29"/>
    </row>
    <row r="37" spans="1:29" s="3" customFormat="1" ht="15" customHeight="1" x14ac:dyDescent="0.2">
      <c r="A37" s="50"/>
      <c r="B37" s="89"/>
      <c r="C37" s="89"/>
      <c r="D37" s="82"/>
      <c r="E37" s="276"/>
      <c r="F37" s="277"/>
      <c r="G37" s="314">
        <f t="shared" si="1"/>
        <v>0</v>
      </c>
      <c r="H37" s="315"/>
      <c r="I37" s="88">
        <f>ROUNDUP(IFERROR(IF(C37&lt;&gt;0,IF(IF($D$8&lt;&gt;0,IF(SUM($D$24:D37)&gt;=$N$8,$N$8-SUM($I$24:I36),D37),0)&gt;(P37*$Q$8),P37*$Q$8,IF($D$8&lt;&gt;0,IF(SUM($D$24:D37)&gt;=$N$8,$N$8-SUM($I$24:I36),D37),0))),0),0)</f>
        <v>0</v>
      </c>
      <c r="J37" s="91" t="str">
        <f t="shared" si="0"/>
        <v/>
      </c>
      <c r="K37" s="84">
        <f t="shared" si="2"/>
        <v>0</v>
      </c>
      <c r="L37" s="312"/>
      <c r="M37" s="313"/>
      <c r="N37" s="86"/>
      <c r="O37" s="62"/>
      <c r="P37" s="152" t="e">
        <f t="shared" si="3"/>
        <v>#VALUE!</v>
      </c>
      <c r="R37" s="153" t="e">
        <f t="shared" si="4"/>
        <v>#VALUE!</v>
      </c>
      <c r="S37" s="26"/>
      <c r="T37" s="26"/>
      <c r="U37" s="155"/>
      <c r="V37" s="155"/>
      <c r="W37" s="144"/>
      <c r="X37" s="149"/>
      <c r="AB37" s="29"/>
      <c r="AC37" s="29"/>
    </row>
    <row r="38" spans="1:29" s="3" customFormat="1" ht="15" customHeight="1" x14ac:dyDescent="0.2">
      <c r="A38" s="50"/>
      <c r="B38" s="89"/>
      <c r="C38" s="89"/>
      <c r="D38" s="82"/>
      <c r="E38" s="276"/>
      <c r="F38" s="277"/>
      <c r="G38" s="314">
        <f t="shared" si="1"/>
        <v>0</v>
      </c>
      <c r="H38" s="315"/>
      <c r="I38" s="88">
        <f>ROUNDUP(IFERROR(IF(C38&lt;&gt;0,IF(IF($D$8&lt;&gt;0,IF(SUM($D$24:D38)&gt;=$N$8,$N$8-SUM($I$24:I37),D38),0)&gt;(P38*$Q$8),P38*$Q$8,IF($D$8&lt;&gt;0,IF(SUM($D$24:D38)&gt;=$N$8,$N$8-SUM($I$24:I37),D38),0))),0),0)</f>
        <v>0</v>
      </c>
      <c r="J38" s="91" t="str">
        <f t="shared" si="0"/>
        <v/>
      </c>
      <c r="K38" s="84">
        <f t="shared" si="2"/>
        <v>0</v>
      </c>
      <c r="L38" s="312"/>
      <c r="M38" s="313"/>
      <c r="N38" s="86"/>
      <c r="O38" s="62"/>
      <c r="P38" s="152" t="e">
        <f t="shared" si="3"/>
        <v>#VALUE!</v>
      </c>
      <c r="R38" s="153" t="e">
        <f t="shared" si="4"/>
        <v>#VALUE!</v>
      </c>
      <c r="S38" s="26"/>
      <c r="T38" s="26"/>
      <c r="U38" s="155" t="s">
        <v>90</v>
      </c>
      <c r="V38" s="156">
        <f>IF(B24&lt;V34,V34,B24)</f>
        <v>0</v>
      </c>
      <c r="W38" s="144">
        <f>V40-V38</f>
        <v>44286</v>
      </c>
      <c r="X38" s="149">
        <f>W38/30.42</f>
        <v>1455.8185404339249</v>
      </c>
      <c r="Z38" s="17"/>
      <c r="AB38" s="4"/>
      <c r="AC38" s="104"/>
    </row>
    <row r="39" spans="1:29" s="3" customFormat="1" ht="15" customHeight="1" x14ac:dyDescent="0.2">
      <c r="A39" s="50"/>
      <c r="B39" s="89"/>
      <c r="C39" s="89"/>
      <c r="D39" s="82"/>
      <c r="E39" s="276"/>
      <c r="F39" s="277"/>
      <c r="G39" s="314">
        <f t="shared" si="1"/>
        <v>0</v>
      </c>
      <c r="H39" s="315"/>
      <c r="I39" s="88">
        <f>ROUNDUP(IFERROR(IF(C39&lt;&gt;0,IF(IF($D$8&lt;&gt;0,IF(SUM($D$24:D39)&gt;=$N$8,$N$8-SUM($I$24:I38),D39),0)&gt;(P39*$Q$8),P39*$Q$8,IF($D$8&lt;&gt;0,IF(SUM($D$24:D39)&gt;=$N$8,$N$8-SUM($I$24:I38),D39),0))),0),0)</f>
        <v>0</v>
      </c>
      <c r="J39" s="91" t="str">
        <f t="shared" si="0"/>
        <v/>
      </c>
      <c r="K39" s="84">
        <f t="shared" si="2"/>
        <v>0</v>
      </c>
      <c r="L39" s="312"/>
      <c r="M39" s="313"/>
      <c r="N39" s="86"/>
      <c r="O39" s="62"/>
      <c r="P39" s="152" t="e">
        <f t="shared" si="3"/>
        <v>#VALUE!</v>
      </c>
      <c r="R39" s="153" t="e">
        <f t="shared" si="4"/>
        <v>#VALUE!</v>
      </c>
      <c r="S39" s="26"/>
      <c r="T39" s="26"/>
      <c r="U39" s="155"/>
      <c r="V39" s="155"/>
      <c r="W39" s="142"/>
      <c r="X39" s="148"/>
      <c r="AB39" s="29"/>
      <c r="AC39" s="29"/>
    </row>
    <row r="40" spans="1:29" s="3" customFormat="1" ht="15" customHeight="1" x14ac:dyDescent="0.2">
      <c r="A40" s="50"/>
      <c r="B40" s="89"/>
      <c r="C40" s="89"/>
      <c r="D40" s="82"/>
      <c r="E40" s="276"/>
      <c r="F40" s="277"/>
      <c r="G40" s="314">
        <f t="shared" si="1"/>
        <v>0</v>
      </c>
      <c r="H40" s="315"/>
      <c r="I40" s="88">
        <f>ROUNDUP(IFERROR(IF(C40&lt;&gt;0,IF(IF($D$8&lt;&gt;0,IF(SUM($D$24:D40)&gt;=$N$8,$N$8-SUM($I$24:I39),D40),0)&gt;(P40*$Q$8),P40*$Q$8,IF($D$8&lt;&gt;0,IF(SUM($D$24:D40)&gt;=$N$8,$N$8-SUM($I$24:I39),D40),0))),0),0)</f>
        <v>0</v>
      </c>
      <c r="J40" s="91" t="str">
        <f t="shared" si="0"/>
        <v/>
      </c>
      <c r="K40" s="84">
        <f t="shared" si="2"/>
        <v>0</v>
      </c>
      <c r="L40" s="312"/>
      <c r="M40" s="313"/>
      <c r="N40" s="86"/>
      <c r="O40" s="62"/>
      <c r="P40" s="152" t="e">
        <f t="shared" si="3"/>
        <v>#VALUE!</v>
      </c>
      <c r="R40" s="153" t="e">
        <f t="shared" si="4"/>
        <v>#VALUE!</v>
      </c>
      <c r="S40" s="26"/>
      <c r="T40" s="26"/>
      <c r="U40" s="155" t="s">
        <v>38</v>
      </c>
      <c r="V40" s="156">
        <v>44286</v>
      </c>
      <c r="W40" s="142"/>
      <c r="X40" s="148"/>
      <c r="AB40" s="29"/>
      <c r="AC40" s="29"/>
    </row>
    <row r="41" spans="1:29" s="3" customFormat="1" ht="15" customHeight="1" x14ac:dyDescent="0.2">
      <c r="A41" s="50"/>
      <c r="B41" s="89"/>
      <c r="C41" s="89"/>
      <c r="D41" s="82"/>
      <c r="E41" s="276"/>
      <c r="F41" s="277"/>
      <c r="G41" s="314">
        <f t="shared" si="1"/>
        <v>0</v>
      </c>
      <c r="H41" s="315"/>
      <c r="I41" s="88">
        <f>ROUNDUP(IFERROR(IF(C41&lt;&gt;0,IF(IF($D$8&lt;&gt;0,IF(SUM($D$24:D41)&gt;=$N$8,$N$8-SUM($I$24:I40),D41),0)&gt;(P41*$Q$8),P41*$Q$8,IF($D$8&lt;&gt;0,IF(SUM($D$24:D41)&gt;=$N$8,$N$8-SUM($I$24:I40),D41),0))),0),0)</f>
        <v>0</v>
      </c>
      <c r="J41" s="91" t="str">
        <f t="shared" si="0"/>
        <v/>
      </c>
      <c r="K41" s="84">
        <f t="shared" si="2"/>
        <v>0</v>
      </c>
      <c r="L41" s="312"/>
      <c r="M41" s="313"/>
      <c r="N41" s="86"/>
      <c r="O41" s="62"/>
      <c r="P41" s="152" t="e">
        <f t="shared" si="3"/>
        <v>#VALUE!</v>
      </c>
      <c r="R41" s="153" t="e">
        <f t="shared" si="4"/>
        <v>#VALUE!</v>
      </c>
      <c r="S41" s="26"/>
      <c r="T41" s="26"/>
      <c r="U41" s="155"/>
      <c r="V41" s="155"/>
      <c r="W41" s="142"/>
      <c r="X41" s="148"/>
      <c r="AC41" s="29"/>
    </row>
    <row r="42" spans="1:29" s="3" customFormat="1" ht="15" customHeight="1" x14ac:dyDescent="0.2">
      <c r="A42" s="50"/>
      <c r="B42" s="89"/>
      <c r="C42" s="89"/>
      <c r="D42" s="82"/>
      <c r="E42" s="276"/>
      <c r="F42" s="277"/>
      <c r="G42" s="314">
        <f t="shared" si="1"/>
        <v>0</v>
      </c>
      <c r="H42" s="315"/>
      <c r="I42" s="88">
        <f>ROUNDUP(IFERROR(IF(C42&lt;&gt;0,IF(IF($D$8&lt;&gt;0,IF(SUM($D$24:D42)&gt;=$N$8,$N$8-SUM($I$24:I41),D42),0)&gt;(P42*$Q$8),P42*$Q$8,IF($D$8&lt;&gt;0,IF(SUM($D$24:D42)&gt;=$N$8,$N$8-SUM($I$24:I41),D42),0))),0),0)</f>
        <v>0</v>
      </c>
      <c r="J42" s="91" t="str">
        <f t="shared" si="0"/>
        <v/>
      </c>
      <c r="K42" s="84">
        <f t="shared" si="2"/>
        <v>0</v>
      </c>
      <c r="L42" s="312"/>
      <c r="M42" s="313"/>
      <c r="N42" s="86"/>
      <c r="O42" s="62"/>
      <c r="P42" s="152" t="e">
        <f t="shared" si="3"/>
        <v>#VALUE!</v>
      </c>
      <c r="R42" s="153" t="e">
        <f t="shared" si="4"/>
        <v>#VALUE!</v>
      </c>
      <c r="S42" s="26"/>
      <c r="T42" s="26"/>
      <c r="U42" s="157" t="s">
        <v>39</v>
      </c>
      <c r="V42" s="158">
        <f>MAX(V30,V34,V38)</f>
        <v>0</v>
      </c>
      <c r="W42" s="145">
        <f>(V40-V42)+1</f>
        <v>44287</v>
      </c>
      <c r="X42" s="150">
        <f>W42/30.42</f>
        <v>1455.8514135437213</v>
      </c>
    </row>
    <row r="43" spans="1:29" s="3" customFormat="1" ht="15" customHeight="1" x14ac:dyDescent="0.2">
      <c r="A43" s="50"/>
      <c r="B43" s="89"/>
      <c r="C43" s="89"/>
      <c r="D43" s="82"/>
      <c r="E43" s="304"/>
      <c r="F43" s="304"/>
      <c r="G43" s="278">
        <f t="shared" si="1"/>
        <v>0</v>
      </c>
      <c r="H43" s="278"/>
      <c r="I43" s="88">
        <f>ROUNDUP(IFERROR(IF(C43&lt;&gt;0,IF(IF($D$8&lt;&gt;0,IF(SUM($D$24:D43)&gt;=$N$8,$N$8-SUM($I$24:I42),D43),0)&gt;(P43*$Q$8),P43*$Q$8,IF($D$8&lt;&gt;0,IF(SUM($D$24:D43)&gt;=$N$8,$N$8-SUM($I$24:I42),D43),0))),0),0)</f>
        <v>0</v>
      </c>
      <c r="J43" s="91" t="str">
        <f>IF(OR(B43=0,C43=0,D43=0,$J$8=0),"",IF(OR(J42="31.03.2021",J42=""),"",IF(I43=0,"",IF(I43&lt;&gt;D43,"31.03.2021",DATE(YEAR(R43),MONTH(R43),DAY(R43)+((I43/$J$8)*30.42))))))</f>
        <v/>
      </c>
      <c r="K43" s="84">
        <f>IF($D$8&lt;&gt;0,IF($D$6&lt;&gt;0,IF(G43&lt;&gt;0,IF(B43&lt;&gt;0,IF(I42&lt;&gt;0,IF(K42&lt;&gt;0,IF(G43&gt;7,(7*I43),(G43*I43)),0),0),0),0),0),0)</f>
        <v>0</v>
      </c>
      <c r="L43" s="294"/>
      <c r="M43" s="294"/>
      <c r="N43" s="86"/>
      <c r="O43" s="62"/>
      <c r="P43" s="152" t="e">
        <f>IF($V$40-R43&lt;0,0,($V$40-R43)+1)</f>
        <v>#VALUE!</v>
      </c>
      <c r="R43" s="153" t="e">
        <f>IF(B43&gt;J42,MIN(B43,$V$40),MIN($V$40,J42+1))</f>
        <v>#VALUE!</v>
      </c>
      <c r="S43" s="26"/>
      <c r="T43" s="26"/>
    </row>
    <row r="44" spans="1:29" s="3" customFormat="1" ht="33" customHeight="1" x14ac:dyDescent="0.2">
      <c r="A44" s="50"/>
      <c r="B44" s="310" t="s">
        <v>84</v>
      </c>
      <c r="C44" s="310"/>
      <c r="D44" s="310"/>
      <c r="E44" s="310"/>
      <c r="F44" s="310"/>
      <c r="G44" s="310"/>
      <c r="H44" s="310"/>
      <c r="I44" s="310"/>
      <c r="J44" s="101"/>
      <c r="K44" s="309">
        <f ca="1">SUMIF(L15:M43,"soll mit diesem Antrag erstattet werden",K15:K43)</f>
        <v>0</v>
      </c>
      <c r="L44" s="305" t="s">
        <v>17</v>
      </c>
      <c r="M44" s="305"/>
      <c r="N44" s="306"/>
      <c r="O44" s="24"/>
      <c r="P44" s="154">
        <f ca="1">K44</f>
        <v>0</v>
      </c>
      <c r="Q44" s="335" t="s">
        <v>104</v>
      </c>
      <c r="R44" s="336"/>
      <c r="T44" s="331"/>
      <c r="U44" s="332"/>
      <c r="V44" s="18"/>
    </row>
    <row r="45" spans="1:29" s="3" customFormat="1" ht="12" customHeight="1" x14ac:dyDescent="0.2">
      <c r="A45" s="50"/>
      <c r="B45" s="311"/>
      <c r="C45" s="311"/>
      <c r="D45" s="311"/>
      <c r="E45" s="311"/>
      <c r="F45" s="311"/>
      <c r="G45" s="311"/>
      <c r="H45" s="311"/>
      <c r="I45" s="311"/>
      <c r="J45" s="100"/>
      <c r="K45" s="309"/>
      <c r="L45" s="307"/>
      <c r="M45" s="307"/>
      <c r="N45" s="308"/>
      <c r="O45" s="24"/>
      <c r="T45" s="332"/>
      <c r="U45" s="332"/>
    </row>
    <row r="46" spans="1:29" s="3" customFormat="1" ht="7.35" customHeight="1" x14ac:dyDescent="0.25">
      <c r="A46" s="50"/>
      <c r="B46" s="311"/>
      <c r="C46" s="311"/>
      <c r="D46" s="311"/>
      <c r="E46" s="311"/>
      <c r="F46" s="311"/>
      <c r="G46" s="311"/>
      <c r="H46" s="311"/>
      <c r="I46" s="311"/>
      <c r="J46" s="100"/>
      <c r="K46" s="90"/>
      <c r="L46" s="24"/>
      <c r="M46" s="24"/>
      <c r="N46" s="55"/>
      <c r="O46" s="24"/>
      <c r="R46" s="30"/>
      <c r="S46" s="30"/>
      <c r="T46" s="30"/>
      <c r="U46" s="30"/>
      <c r="V46" s="30"/>
      <c r="W46" s="30"/>
      <c r="X46" s="30"/>
      <c r="Y46" s="30"/>
      <c r="Z46" s="30"/>
    </row>
    <row r="47" spans="1:29" s="3" customFormat="1" ht="7.35" customHeight="1" x14ac:dyDescent="0.2">
      <c r="A47" s="50"/>
      <c r="B47" s="311"/>
      <c r="C47" s="311"/>
      <c r="D47" s="311"/>
      <c r="E47" s="311"/>
      <c r="F47" s="311"/>
      <c r="G47" s="311"/>
      <c r="H47" s="311"/>
      <c r="I47" s="311"/>
      <c r="J47" s="23"/>
      <c r="K47" s="23"/>
      <c r="L47" s="24"/>
      <c r="M47" s="24"/>
      <c r="N47" s="55"/>
      <c r="O47" s="24"/>
      <c r="W47" s="16"/>
      <c r="X47" s="17"/>
    </row>
    <row r="48" spans="1:29" s="3" customFormat="1" ht="17.100000000000001" customHeight="1" x14ac:dyDescent="0.2">
      <c r="A48" s="50"/>
      <c r="B48" s="238" t="s">
        <v>25</v>
      </c>
      <c r="C48" s="238"/>
      <c r="D48" s="238"/>
      <c r="E48" s="238"/>
      <c r="F48" s="5"/>
      <c r="G48" s="20"/>
      <c r="H48" s="20"/>
      <c r="I48" s="20"/>
      <c r="J48" s="23"/>
      <c r="K48" s="23"/>
      <c r="L48" s="24"/>
      <c r="M48" s="24"/>
      <c r="N48" s="55"/>
      <c r="O48" s="24"/>
    </row>
    <row r="49" spans="1:26" s="3" customFormat="1" ht="24" customHeight="1" x14ac:dyDescent="0.2">
      <c r="A49" s="50"/>
      <c r="B49" s="298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300"/>
      <c r="O49" s="8"/>
      <c r="U49" s="4"/>
    </row>
    <row r="50" spans="1:26" s="3" customFormat="1" ht="34.35" customHeight="1" x14ac:dyDescent="0.2">
      <c r="A50" s="50"/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3"/>
      <c r="O50" s="8"/>
    </row>
    <row r="51" spans="1:26" s="3" customFormat="1" ht="7.35" customHeight="1" thickBot="1" x14ac:dyDescent="0.2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5"/>
    </row>
    <row r="52" spans="1:26" s="3" customFormat="1" ht="7.35" customHeight="1" x14ac:dyDescent="0.2">
      <c r="A52" s="5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Z52" s="5"/>
    </row>
  </sheetData>
  <sheetProtection algorithmName="SHA-512" hashValue="3qH1o+EZ66vaPnNI97S5g0H+ShGUz9m0D5m/WrvcaW8Boq1grIHqZHa7TZ6P6DpFr42uX88mw6rA8hdPjcSPhQ==" saltValue="rxxMqqBMBMeLmBd5rsrrwg==" spinCount="100000" sheet="1" selectLockedCells="1"/>
  <mergeCells count="121">
    <mergeCell ref="G31:H31"/>
    <mergeCell ref="E31:F31"/>
    <mergeCell ref="L36:M36"/>
    <mergeCell ref="G36:H36"/>
    <mergeCell ref="E36:F36"/>
    <mergeCell ref="L35:M35"/>
    <mergeCell ref="G35:H35"/>
    <mergeCell ref="E35:F35"/>
    <mergeCell ref="L34:M34"/>
    <mergeCell ref="G34:H34"/>
    <mergeCell ref="E34:F34"/>
    <mergeCell ref="X6:X7"/>
    <mergeCell ref="X8:X9"/>
    <mergeCell ref="X10:Z11"/>
    <mergeCell ref="T44:U45"/>
    <mergeCell ref="V13:V17"/>
    <mergeCell ref="Q44:R44"/>
    <mergeCell ref="V22:W22"/>
    <mergeCell ref="U2:U4"/>
    <mergeCell ref="Q2:Q4"/>
    <mergeCell ref="P2:P4"/>
    <mergeCell ref="S2:S4"/>
    <mergeCell ref="Q16:R16"/>
    <mergeCell ref="Q17:R17"/>
    <mergeCell ref="T11:T14"/>
    <mergeCell ref="P22:P23"/>
    <mergeCell ref="R22:R23"/>
    <mergeCell ref="E40:F40"/>
    <mergeCell ref="G40:H40"/>
    <mergeCell ref="L40:M40"/>
    <mergeCell ref="E37:F37"/>
    <mergeCell ref="G37:H37"/>
    <mergeCell ref="L37:M37"/>
    <mergeCell ref="E38:F38"/>
    <mergeCell ref="G38:H38"/>
    <mergeCell ref="L38:M38"/>
    <mergeCell ref="E29:F29"/>
    <mergeCell ref="G29:H29"/>
    <mergeCell ref="L29:M29"/>
    <mergeCell ref="E30:F30"/>
    <mergeCell ref="G30:H30"/>
    <mergeCell ref="L30:M30"/>
    <mergeCell ref="E27:F27"/>
    <mergeCell ref="G27:H27"/>
    <mergeCell ref="B49:N50"/>
    <mergeCell ref="E43:F43"/>
    <mergeCell ref="G43:H43"/>
    <mergeCell ref="L43:M43"/>
    <mergeCell ref="L44:N45"/>
    <mergeCell ref="K44:K45"/>
    <mergeCell ref="B48:E48"/>
    <mergeCell ref="B44:I47"/>
    <mergeCell ref="L31:M31"/>
    <mergeCell ref="E32:F32"/>
    <mergeCell ref="G32:H32"/>
    <mergeCell ref="L32:M32"/>
    <mergeCell ref="L42:M42"/>
    <mergeCell ref="G42:H42"/>
    <mergeCell ref="E42:F42"/>
    <mergeCell ref="L41:M41"/>
    <mergeCell ref="G41:H41"/>
    <mergeCell ref="E41:F41"/>
    <mergeCell ref="L39:M39"/>
    <mergeCell ref="G39:H39"/>
    <mergeCell ref="E39:F39"/>
    <mergeCell ref="L33:M33"/>
    <mergeCell ref="G33:H33"/>
    <mergeCell ref="E33:F33"/>
    <mergeCell ref="L27:M27"/>
    <mergeCell ref="E28:F28"/>
    <mergeCell ref="G28:H28"/>
    <mergeCell ref="L28:M28"/>
    <mergeCell ref="E25:F25"/>
    <mergeCell ref="G25:H25"/>
    <mergeCell ref="L25:M25"/>
    <mergeCell ref="E26:F26"/>
    <mergeCell ref="G26:H26"/>
    <mergeCell ref="L26:M26"/>
    <mergeCell ref="K22:K23"/>
    <mergeCell ref="L22:N23"/>
    <mergeCell ref="E24:F24"/>
    <mergeCell ref="G24:H24"/>
    <mergeCell ref="L24:M24"/>
    <mergeCell ref="E17:F17"/>
    <mergeCell ref="G17:H17"/>
    <mergeCell ref="L17:M17"/>
    <mergeCell ref="A20:N20"/>
    <mergeCell ref="B22:B23"/>
    <mergeCell ref="D22:D23"/>
    <mergeCell ref="E22:F23"/>
    <mergeCell ref="G22:H23"/>
    <mergeCell ref="I22:I23"/>
    <mergeCell ref="J22:J23"/>
    <mergeCell ref="C22:C23"/>
    <mergeCell ref="E16:F16"/>
    <mergeCell ref="G16:H16"/>
    <mergeCell ref="L16:M16"/>
    <mergeCell ref="A11:N11"/>
    <mergeCell ref="B13:B14"/>
    <mergeCell ref="D13:D14"/>
    <mergeCell ref="E13:F14"/>
    <mergeCell ref="G13:H14"/>
    <mergeCell ref="I13:I14"/>
    <mergeCell ref="J13:J14"/>
    <mergeCell ref="C13:C14"/>
    <mergeCell ref="A4:N4"/>
    <mergeCell ref="B6:C6"/>
    <mergeCell ref="B8:C8"/>
    <mergeCell ref="A1:N1"/>
    <mergeCell ref="A2:N2"/>
    <mergeCell ref="K13:K14"/>
    <mergeCell ref="L13:N14"/>
    <mergeCell ref="E15:F15"/>
    <mergeCell ref="G15:H15"/>
    <mergeCell ref="L15:M15"/>
    <mergeCell ref="D6:E6"/>
    <mergeCell ref="D8:E8"/>
    <mergeCell ref="G6:I6"/>
    <mergeCell ref="G8:I8"/>
    <mergeCell ref="L6:M6"/>
    <mergeCell ref="L8:M8"/>
  </mergeCells>
  <conditionalFormatting sqref="L24:M43">
    <cfRule type="expression" dxfId="31" priority="24">
      <formula>L24&lt;&gt;0</formula>
    </cfRule>
    <cfRule type="expression" dxfId="30" priority="25">
      <formula>I24&lt;&gt;0</formula>
    </cfRule>
  </conditionalFormatting>
  <conditionalFormatting sqref="L15:M17">
    <cfRule type="expression" dxfId="29" priority="21">
      <formula>L15&gt;0</formula>
    </cfRule>
    <cfRule type="expression" dxfId="28" priority="22">
      <formula>I15&gt;0</formula>
    </cfRule>
  </conditionalFormatting>
  <conditionalFormatting sqref="O20">
    <cfRule type="expression" dxfId="27" priority="64">
      <formula>O20&lt;&gt;0</formula>
    </cfRule>
    <cfRule type="expression" dxfId="26" priority="65">
      <formula>M20="bereits erstattet am"</formula>
    </cfRule>
    <cfRule type="expression" dxfId="25" priority="66">
      <formula>P20=1</formula>
    </cfRule>
  </conditionalFormatting>
  <conditionalFormatting sqref="D6:E6">
    <cfRule type="expression" dxfId="24" priority="18">
      <formula>$D$6&gt;0</formula>
    </cfRule>
  </conditionalFormatting>
  <conditionalFormatting sqref="D8:E8">
    <cfRule type="expression" dxfId="23" priority="17">
      <formula>$D$8&gt;0</formula>
    </cfRule>
  </conditionalFormatting>
  <conditionalFormatting sqref="J6">
    <cfRule type="expression" dxfId="22" priority="16">
      <formula>$J$6&gt;0</formula>
    </cfRule>
  </conditionalFormatting>
  <conditionalFormatting sqref="J8">
    <cfRule type="expression" dxfId="21" priority="15">
      <formula>$J$8&gt;0</formula>
    </cfRule>
  </conditionalFormatting>
  <conditionalFormatting sqref="C15:C17">
    <cfRule type="expression" dxfId="20" priority="11">
      <formula>C15&gt;=B15</formula>
    </cfRule>
    <cfRule type="expression" dxfId="19" priority="12">
      <formula>OR(B15&gt;0,C15&lt;B15)</formula>
    </cfRule>
  </conditionalFormatting>
  <conditionalFormatting sqref="C24:C43">
    <cfRule type="expression" dxfId="18" priority="9">
      <formula>C24&gt;=B24</formula>
    </cfRule>
    <cfRule type="expression" dxfId="17" priority="10">
      <formula>OR(B24&gt;0,B24&lt;C24)</formula>
    </cfRule>
  </conditionalFormatting>
  <conditionalFormatting sqref="B15:B17">
    <cfRule type="expression" dxfId="16" priority="4">
      <formula>B15&gt;$V$40</formula>
    </cfRule>
  </conditionalFormatting>
  <conditionalFormatting sqref="B24:B43">
    <cfRule type="expression" dxfId="15" priority="3">
      <formula>B24&gt;$V$40</formula>
    </cfRule>
  </conditionalFormatting>
  <conditionalFormatting sqref="O15:O17">
    <cfRule type="expression" dxfId="14" priority="70">
      <formula>O15&lt;&gt;0</formula>
    </cfRule>
    <cfRule type="expression" dxfId="13" priority="71">
      <formula>M15="bereits erstattet am"</formula>
    </cfRule>
    <cfRule type="expression" dxfId="12" priority="72">
      <formula>S15=1</formula>
    </cfRule>
  </conditionalFormatting>
  <conditionalFormatting sqref="N15:N43">
    <cfRule type="expression" dxfId="11" priority="1">
      <formula>L15="Erstattung bereits beantragt aber noch nicht ausgezahlt"</formula>
    </cfRule>
    <cfRule type="expression" dxfId="10" priority="19">
      <formula>L15="Erstattung erfolgte über Verband/Einkaufsverbund"</formula>
    </cfRule>
    <cfRule type="expression" dxfId="9" priority="54">
      <formula>L15="soll mit diesem Antrag erstattet werden"</formula>
    </cfRule>
  </conditionalFormatting>
  <conditionalFormatting sqref="N15:O43">
    <cfRule type="expression" dxfId="8" priority="55">
      <formula>N15&lt;&gt;0</formula>
    </cfRule>
    <cfRule type="expression" dxfId="7" priority="56">
      <formula>L15="bereits erstattet am"</formula>
    </cfRule>
  </conditionalFormatting>
  <dataValidations count="28">
    <dataValidation type="date" allowBlank="1" showInputMessage="1" showErrorMessage="1" error="Es ist nur ein Datum im Zeitraum zwischen dem 15.10.2020 und dem 31.07.2021 zulässig" sqref="N24:N43 N15:N17" xr:uid="{00000000-0002-0000-0100-000000000000}">
      <formula1>44119</formula1>
      <formula2>44408</formula2>
    </dataValidation>
    <dataValidation type="custom" allowBlank="1" showInputMessage="1" showErrorMessage="1" error="Die maximale monatliche Testmenge kann die zulässige Höchstmenge nach der Verordnung nicht überschreiten." sqref="J8" xr:uid="{00000000-0002-0000-0100-000001000000}">
      <formula1>J8&lt;=N6</formula1>
    </dataValidation>
    <dataValidation type="custom" allowBlank="1" showInputMessage="1" showErrorMessage="1" error="Der Antrag kann nicht vor Inkrafttreten der Verordnung gestellt worden sein." sqref="D6:E6" xr:uid="{00000000-0002-0000-0100-000002000000}">
      <formula1>D6&gt;=P6</formula1>
    </dataValidation>
    <dataValidation type="custom" allowBlank="1" showInputMessage="1" showErrorMessage="1" error="Ungültiges Bestelldatum" sqref="B15" xr:uid="{00000000-0002-0000-0100-000003000000}">
      <formula1>AND(B15&lt;=V6,B15&gt;V4)</formula1>
    </dataValidation>
    <dataValidation type="custom" allowBlank="1" showInputMessage="1" showErrorMessage="1" error="Ungültiges Bestelldatum" sqref="B16" xr:uid="{00000000-0002-0000-0100-000004000000}">
      <formula1>AND(B16&lt;=V6,B16&gt;V4)</formula1>
    </dataValidation>
    <dataValidation type="custom" allowBlank="1" showInputMessage="1" showErrorMessage="1" error="Ungültiges Bestelldatum" sqref="B17" xr:uid="{00000000-0002-0000-0100-000005000000}">
      <formula1>AND(B17&lt;=V6,B17&gt;V4)</formula1>
    </dataValidation>
    <dataValidation type="custom" allowBlank="1" showInputMessage="1" showErrorMessage="1" error="Ungültiges Bestelldatum" sqref="B24" xr:uid="{00000000-0002-0000-0100-000006000000}">
      <formula1>AND(B24&lt;=V6,B24&gt;V4)</formula1>
    </dataValidation>
    <dataValidation type="custom" allowBlank="1" showInputMessage="1" showErrorMessage="1" error="Ungültiges Bestelldatum" sqref="B25" xr:uid="{00000000-0002-0000-0100-000007000000}">
      <formula1>AND(B25&lt;=V6,B25&gt;V4)</formula1>
    </dataValidation>
    <dataValidation type="custom" allowBlank="1" showInputMessage="1" showErrorMessage="1" error="Ungültiges Bestelldatum" sqref="B26" xr:uid="{00000000-0002-0000-0100-000008000000}">
      <formula1>AND(B26&lt;=V6,B26&gt;V4)</formula1>
    </dataValidation>
    <dataValidation type="custom" allowBlank="1" showInputMessage="1" showErrorMessage="1" error="Ungültiges Bestelldatum" sqref="B27" xr:uid="{00000000-0002-0000-0100-000009000000}">
      <formula1>AND(B27&lt;=V6,B27&gt;V4)</formula1>
    </dataValidation>
    <dataValidation type="custom" allowBlank="1" showInputMessage="1" showErrorMessage="1" error="Ungültiges Bestelldatum" sqref="B28" xr:uid="{00000000-0002-0000-0100-00000A000000}">
      <formula1>AND(B28&lt;=V6,B28&gt;V4)</formula1>
    </dataValidation>
    <dataValidation type="custom" allowBlank="1" showInputMessage="1" showErrorMessage="1" error="Ungültiges Bestelldatum" sqref="B29" xr:uid="{00000000-0002-0000-0100-00000B000000}">
      <formula1>AND(B29&lt;=V6,B29&gt;V4)</formula1>
    </dataValidation>
    <dataValidation type="custom" allowBlank="1" showInputMessage="1" showErrorMessage="1" error="Ungültiges Bestelldatum" sqref="B30" xr:uid="{00000000-0002-0000-0100-00000C000000}">
      <formula1>AND(B30&lt;=V6,B30&gt;V4)</formula1>
    </dataValidation>
    <dataValidation type="custom" allowBlank="1" showInputMessage="1" showErrorMessage="1" error="Ungültiges Bestelldatum" sqref="B31" xr:uid="{00000000-0002-0000-0100-00000D000000}">
      <formula1>AND(B31&lt;=V6,B31&gt;V4)</formula1>
    </dataValidation>
    <dataValidation type="custom" allowBlank="1" showInputMessage="1" showErrorMessage="1" error="Ungültiges Bestelldatum" sqref="B32" xr:uid="{00000000-0002-0000-0100-00000E000000}">
      <formula1>AND(B32&lt;=V6,B32&gt;V4)</formula1>
    </dataValidation>
    <dataValidation type="custom" allowBlank="1" showInputMessage="1" showErrorMessage="1" error="Ungültiges Bestelldatum" sqref="B33" xr:uid="{00000000-0002-0000-0100-00000F000000}">
      <formula1>AND(B33&lt;=V6,B33&gt;V4)</formula1>
    </dataValidation>
    <dataValidation type="custom" allowBlank="1" showInputMessage="1" showErrorMessage="1" error="Ungültiges Bestelldatum" sqref="B34" xr:uid="{00000000-0002-0000-0100-000010000000}">
      <formula1>AND(B34&lt;=V6,B34&gt;V4)</formula1>
    </dataValidation>
    <dataValidation type="custom" allowBlank="1" showInputMessage="1" showErrorMessage="1" error="Ungültiges Bestelldatum" sqref="B35" xr:uid="{00000000-0002-0000-0100-000011000000}">
      <formula1>AND(B35&lt;=V6,B35&gt;V4)</formula1>
    </dataValidation>
    <dataValidation type="custom" allowBlank="1" showInputMessage="1" showErrorMessage="1" error="Ungültiges Bestelldatum" sqref="B36" xr:uid="{00000000-0002-0000-0100-000012000000}">
      <formula1>AND(B36&gt;=V6,B36&lt;V4)</formula1>
    </dataValidation>
    <dataValidation type="custom" allowBlank="1" showInputMessage="1" showErrorMessage="1" error="Ungültiges Bestelldatum" sqref="B37" xr:uid="{00000000-0002-0000-0100-000013000000}">
      <formula1>AND(B37&lt;=V6,B37&gt;V4)</formula1>
    </dataValidation>
    <dataValidation type="custom" allowBlank="1" showInputMessage="1" showErrorMessage="1" error="Ungültiges Bestelldatum" sqref="B38" xr:uid="{00000000-0002-0000-0100-000014000000}">
      <formula1>AND(B38&lt;=V6,B38&gt;V4)</formula1>
    </dataValidation>
    <dataValidation type="custom" allowBlank="1" showInputMessage="1" showErrorMessage="1" error="Ungültiges Bestelldatum" sqref="B39" xr:uid="{00000000-0002-0000-0100-000015000000}">
      <formula1>AND(B39&lt;=V6,B39&gt;V4)</formula1>
    </dataValidation>
    <dataValidation type="custom" allowBlank="1" showInputMessage="1" showErrorMessage="1" error="Ungültiges Bestelldatum" sqref="B40" xr:uid="{00000000-0002-0000-0100-000016000000}">
      <formula1>AND(B40&lt;=V6,B40&gt;V4)</formula1>
    </dataValidation>
    <dataValidation type="custom" allowBlank="1" showInputMessage="1" showErrorMessage="1" error="Ungültiges Bestelldatum" sqref="B41" xr:uid="{00000000-0002-0000-0100-000017000000}">
      <formula1>AND(B41&lt;=V6,B41&gt;V4)</formula1>
    </dataValidation>
    <dataValidation type="custom" allowBlank="1" showInputMessage="1" showErrorMessage="1" error="Ungültiges Bestelldatum" sqref="B42" xr:uid="{00000000-0002-0000-0100-000018000000}">
      <formula1>AND(B42&lt;=V6,B42&gt;V4)</formula1>
    </dataValidation>
    <dataValidation type="custom" allowBlank="1" showInputMessage="1" showErrorMessage="1" error="Ungültiges Bestelldatum" sqref="B43" xr:uid="{00000000-0002-0000-0100-000019000000}">
      <formula1>AND(B43&lt;=V6,B43&gt;V4)</formula1>
    </dataValidation>
    <dataValidation type="list" allowBlank="1" showInputMessage="1" showErrorMessage="1" sqref="L24:M43 L15:M17" xr:uid="{00000000-0002-0000-0100-00001A000000}">
      <formula1>$X$14:$X$17</formula1>
    </dataValidation>
    <dataValidation type="list" allowBlank="1" showInputMessage="1" showErrorMessage="1" sqref="L21:M21 L18:M19" xr:uid="{00000000-0002-0000-0100-00001B000000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4294967293" r:id="rId1"/>
  <colBreaks count="1" manualBreakCount="1">
    <brk id="15" max="1048575" man="1"/>
  </colBreaks>
  <ignoredErrors>
    <ignoredError sqref="I16 I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5"/>
  <sheetViews>
    <sheetView showGridLines="0" zoomScale="70" zoomScaleNormal="70" zoomScaleSheetLayoutView="50" workbookViewId="0">
      <selection activeCell="B6" sqref="B6"/>
    </sheetView>
  </sheetViews>
  <sheetFormatPr baseColWidth="10" defaultColWidth="8.85546875" defaultRowHeight="15" x14ac:dyDescent="0.25"/>
  <cols>
    <col min="1" max="1" width="1.42578125" style="22" customWidth="1"/>
    <col min="2" max="5" width="19.5703125" style="22" customWidth="1"/>
    <col min="6" max="6" width="33.5703125" style="22" customWidth="1"/>
    <col min="7" max="7" width="19.5703125" style="22" customWidth="1"/>
    <col min="8" max="9" width="16.42578125" style="22" hidden="1" customWidth="1"/>
    <col min="10" max="10" width="28" style="22" customWidth="1"/>
    <col min="11" max="12" width="28.5703125" style="22" customWidth="1"/>
    <col min="13" max="13" width="23.5703125" style="21" customWidth="1"/>
    <col min="14" max="14" width="14.42578125" style="22" hidden="1" customWidth="1"/>
    <col min="15" max="15" width="17.42578125" style="22" hidden="1" customWidth="1"/>
    <col min="16" max="16" width="15.42578125" style="22" hidden="1" customWidth="1"/>
    <col min="17" max="17" width="10.42578125" style="22" hidden="1" customWidth="1"/>
    <col min="18" max="18" width="20.5703125" style="22" customWidth="1"/>
    <col min="19" max="19" width="15.42578125" style="22" customWidth="1"/>
    <col min="20" max="20" width="15.5703125" style="22" customWidth="1"/>
    <col min="21" max="21" width="8.85546875" style="22"/>
    <col min="22" max="22" width="13.140625" style="22" customWidth="1"/>
    <col min="23" max="23" width="14.42578125" style="22" customWidth="1"/>
    <col min="24" max="24" width="14.85546875" style="22" customWidth="1"/>
    <col min="25" max="16384" width="8.85546875" style="22"/>
  </cols>
  <sheetData>
    <row r="1" spans="1:33" s="3" customFormat="1" ht="38.1" customHeight="1" x14ac:dyDescent="0.2">
      <c r="A1" s="344" t="s">
        <v>85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6"/>
    </row>
    <row r="2" spans="1:33" s="3" customFormat="1" ht="68.099999999999994" customHeight="1" x14ac:dyDescent="0.2">
      <c r="A2" s="347" t="s">
        <v>118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</row>
    <row r="3" spans="1:33" s="3" customFormat="1" ht="6.6" customHeight="1" x14ac:dyDescent="0.2">
      <c r="A3" s="9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99"/>
    </row>
    <row r="4" spans="1:33" s="3" customFormat="1" ht="35.450000000000003" customHeight="1" x14ac:dyDescent="0.2">
      <c r="A4" s="50"/>
      <c r="B4" s="356" t="s">
        <v>56</v>
      </c>
      <c r="C4" s="285" t="s">
        <v>71</v>
      </c>
      <c r="D4" s="362" t="s">
        <v>116</v>
      </c>
      <c r="E4" s="284" t="s">
        <v>111</v>
      </c>
      <c r="F4" s="284"/>
      <c r="G4" s="284"/>
      <c r="H4" s="358" t="s">
        <v>54</v>
      </c>
      <c r="I4" s="360" t="s">
        <v>55</v>
      </c>
      <c r="J4" s="356" t="s">
        <v>69</v>
      </c>
      <c r="K4" s="284" t="s">
        <v>72</v>
      </c>
      <c r="L4" s="362" t="s">
        <v>81</v>
      </c>
      <c r="M4" s="343" t="s">
        <v>70</v>
      </c>
    </row>
    <row r="5" spans="1:33" s="3" customFormat="1" ht="63.6" customHeight="1" x14ac:dyDescent="0.2">
      <c r="A5" s="50"/>
      <c r="B5" s="357"/>
      <c r="C5" s="285"/>
      <c r="D5" s="363"/>
      <c r="E5" s="284"/>
      <c r="F5" s="284"/>
      <c r="G5" s="284"/>
      <c r="H5" s="359"/>
      <c r="I5" s="361"/>
      <c r="J5" s="357"/>
      <c r="K5" s="284"/>
      <c r="L5" s="363"/>
      <c r="M5" s="343"/>
      <c r="O5" s="64"/>
      <c r="P5" s="4"/>
      <c r="Q5" s="4"/>
      <c r="R5" s="4"/>
    </row>
    <row r="6" spans="1:33" s="3" customFormat="1" ht="30" customHeight="1" x14ac:dyDescent="0.2">
      <c r="A6" s="50"/>
      <c r="B6" s="87"/>
      <c r="C6" s="114"/>
      <c r="D6" s="84">
        <f>IF(B6&lt;&gt;0,C6*9,0)</f>
        <v>0</v>
      </c>
      <c r="E6" s="279"/>
      <c r="F6" s="279"/>
      <c r="G6" s="102"/>
      <c r="H6" s="115">
        <f>SUMIF('PoC-Antigen-Tests'!$C$15:$C$17,"&lt;="&amp;B6,'PoC-Antigen-Tests'!$I$15:$I$17)</f>
        <v>0</v>
      </c>
      <c r="I6" s="115">
        <f>SUMIF('PoC-Antigen-Tests'!$C$24:$C$43,"&lt;="&amp;B6,'PoC-Antigen-Tests'!$I$24:$I$43)</f>
        <v>0</v>
      </c>
      <c r="J6" s="116">
        <f>ROUNDUP(IF(B6&lt;&gt;0,I6+H6,0),0)</f>
        <v>0</v>
      </c>
      <c r="K6" s="116"/>
      <c r="L6" s="116">
        <f t="shared" ref="L6:L15" si="0">K6+J6</f>
        <v>0</v>
      </c>
      <c r="M6" s="103">
        <f t="shared" ref="M6:M15" si="1">IF(L6&gt;0,MAX(L6-C6,0),0)</f>
        <v>0</v>
      </c>
      <c r="O6" s="2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30" customHeight="1" x14ac:dyDescent="0.2">
      <c r="A7" s="50"/>
      <c r="B7" s="87"/>
      <c r="C7" s="114"/>
      <c r="D7" s="84">
        <f t="shared" ref="D7:D15" si="2">IF(B7&lt;&gt;0,C7*9,0)</f>
        <v>0</v>
      </c>
      <c r="E7" s="279"/>
      <c r="F7" s="279"/>
      <c r="G7" s="102"/>
      <c r="H7" s="115">
        <f>SUMIF('PoC-Antigen-Tests'!$C$15:$C$17,"&lt;="&amp;B7,'PoC-Antigen-Tests'!$I$15:$I$17)</f>
        <v>0</v>
      </c>
      <c r="I7" s="115">
        <f>SUMIF('PoC-Antigen-Tests'!$C$24:$C$43,"&lt;="&amp;B7,'PoC-Antigen-Tests'!$I$24:$I$43)</f>
        <v>0</v>
      </c>
      <c r="J7" s="116">
        <f>ROUNDUP(IF(B7&lt;&gt;0,(H7-H6)+(I7-I6),0),0)</f>
        <v>0</v>
      </c>
      <c r="K7" s="116">
        <f>IF(B7=0,0,SUM($J$6:J6)-(SUM($C$6:C6)))</f>
        <v>0</v>
      </c>
      <c r="L7" s="116">
        <f t="shared" si="0"/>
        <v>0</v>
      </c>
      <c r="M7" s="103">
        <f t="shared" si="1"/>
        <v>0</v>
      </c>
      <c r="O7" s="4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30" customHeight="1" x14ac:dyDescent="0.2">
      <c r="A8" s="50"/>
      <c r="B8" s="87"/>
      <c r="C8" s="114"/>
      <c r="D8" s="84">
        <f t="shared" si="2"/>
        <v>0</v>
      </c>
      <c r="E8" s="279"/>
      <c r="F8" s="279"/>
      <c r="G8" s="102"/>
      <c r="H8" s="115">
        <f>SUMIF('PoC-Antigen-Tests'!$C$15:$C$17,"&lt;="&amp;B8,'PoC-Antigen-Tests'!$I$15:$I$17)</f>
        <v>0</v>
      </c>
      <c r="I8" s="115">
        <f>SUMIF('PoC-Antigen-Tests'!$C$24:$C$43,"&lt;="&amp;B8,'PoC-Antigen-Tests'!$I$24:$I$43)</f>
        <v>0</v>
      </c>
      <c r="J8" s="116">
        <f t="shared" ref="J8:J14" si="3">ROUNDUP(IF(B8&lt;&gt;0,(H8-H7)+(I8-I7),0),0)</f>
        <v>0</v>
      </c>
      <c r="K8" s="116">
        <f>IF(B8=0,0,SUM($J$6:J7)-(SUM($C$6:C7)))</f>
        <v>0</v>
      </c>
      <c r="L8" s="116">
        <f t="shared" si="0"/>
        <v>0</v>
      </c>
      <c r="M8" s="103">
        <f t="shared" si="1"/>
        <v>0</v>
      </c>
      <c r="O8" s="106">
        <f>MAX(B6:B15)</f>
        <v>0</v>
      </c>
      <c r="P8" s="105">
        <f>'PoC-Antigen-Tests'!T17</f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3" customFormat="1" ht="30" customHeight="1" x14ac:dyDescent="0.2">
      <c r="A9" s="50"/>
      <c r="B9" s="87"/>
      <c r="C9" s="114"/>
      <c r="D9" s="84">
        <f t="shared" si="2"/>
        <v>0</v>
      </c>
      <c r="E9" s="279"/>
      <c r="F9" s="279"/>
      <c r="G9" s="102"/>
      <c r="H9" s="115">
        <f>SUMIF('PoC-Antigen-Tests'!$C$15:$C$17,"&lt;="&amp;B9,'PoC-Antigen-Tests'!$I$15:$I$17)</f>
        <v>0</v>
      </c>
      <c r="I9" s="115">
        <f>SUMIF('PoC-Antigen-Tests'!$C$24:$C$43,"&lt;="&amp;B9,'PoC-Antigen-Tests'!$I$24:$I$43)</f>
        <v>0</v>
      </c>
      <c r="J9" s="116">
        <f t="shared" si="3"/>
        <v>0</v>
      </c>
      <c r="K9" s="116">
        <f>IF(B9=0,0,SUM($J$6:J8)-(SUM($C$6:C8)))</f>
        <v>0</v>
      </c>
      <c r="L9" s="116">
        <f t="shared" si="0"/>
        <v>0</v>
      </c>
      <c r="M9" s="103">
        <f t="shared" si="1"/>
        <v>0</v>
      </c>
      <c r="O9" s="107">
        <f>MAX(O8,P8)</f>
        <v>0</v>
      </c>
      <c r="P9" s="112" t="s">
        <v>61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3" customFormat="1" ht="30" customHeight="1" x14ac:dyDescent="0.2">
      <c r="A10" s="50"/>
      <c r="B10" s="87"/>
      <c r="C10" s="114"/>
      <c r="D10" s="84">
        <f t="shared" si="2"/>
        <v>0</v>
      </c>
      <c r="E10" s="279"/>
      <c r="F10" s="279"/>
      <c r="G10" s="102"/>
      <c r="H10" s="115">
        <f>SUMIF('PoC-Antigen-Tests'!$C$15:$C$17,"&lt;="&amp;B10,'PoC-Antigen-Tests'!$I$15:$I$17)</f>
        <v>0</v>
      </c>
      <c r="I10" s="115">
        <f>SUMIF('PoC-Antigen-Tests'!$C$24:$C$43,"&lt;="&amp;B10,'PoC-Antigen-Tests'!$I$24:$I$43)</f>
        <v>0</v>
      </c>
      <c r="J10" s="116">
        <f t="shared" si="3"/>
        <v>0</v>
      </c>
      <c r="K10" s="116">
        <f>IF(B10=0,0,SUM($J$6:J9)-(SUM($C$6:C9)))</f>
        <v>0</v>
      </c>
      <c r="L10" s="116">
        <f t="shared" si="0"/>
        <v>0</v>
      </c>
      <c r="M10" s="103">
        <f t="shared" si="1"/>
        <v>0</v>
      </c>
      <c r="O10" s="3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3" customFormat="1" ht="30" customHeight="1" x14ac:dyDescent="0.2">
      <c r="A11" s="50"/>
      <c r="B11" s="87"/>
      <c r="C11" s="114"/>
      <c r="D11" s="84">
        <f t="shared" si="2"/>
        <v>0</v>
      </c>
      <c r="E11" s="364"/>
      <c r="F11" s="365"/>
      <c r="G11" s="102"/>
      <c r="H11" s="115">
        <f>SUMIF('PoC-Antigen-Tests'!$C$15:$C$17,"&lt;="&amp;B11,'PoC-Antigen-Tests'!$I$15:$I$17)</f>
        <v>0</v>
      </c>
      <c r="I11" s="115">
        <f>SUMIF('PoC-Antigen-Tests'!$C$24:$C$43,"&lt;="&amp;B11,'PoC-Antigen-Tests'!$I$24:$I$43)</f>
        <v>0</v>
      </c>
      <c r="J11" s="116">
        <f t="shared" si="3"/>
        <v>0</v>
      </c>
      <c r="K11" s="116">
        <f>IF(B11=0,0,SUM($J$6:J10)-(SUM($C$6:C10)))</f>
        <v>0</v>
      </c>
      <c r="L11" s="116">
        <f t="shared" si="0"/>
        <v>0</v>
      </c>
      <c r="M11" s="103">
        <f t="shared" si="1"/>
        <v>0</v>
      </c>
      <c r="O11" s="169" t="s">
        <v>109</v>
      </c>
      <c r="P11" s="170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3" customFormat="1" ht="30" customHeight="1" x14ac:dyDescent="0.2">
      <c r="A12" s="50"/>
      <c r="B12" s="87"/>
      <c r="C12" s="114"/>
      <c r="D12" s="84">
        <f t="shared" si="2"/>
        <v>0</v>
      </c>
      <c r="E12" s="364"/>
      <c r="F12" s="365"/>
      <c r="G12" s="102"/>
      <c r="H12" s="115">
        <f>SUMIF('PoC-Antigen-Tests'!$C$15:$C$17,"&lt;="&amp;B12,'PoC-Antigen-Tests'!$I$15:$I$17)</f>
        <v>0</v>
      </c>
      <c r="I12" s="115">
        <f>SUMIF('PoC-Antigen-Tests'!$C$24:$C$43,"&lt;="&amp;B12,'PoC-Antigen-Tests'!$I$24:$I$43)</f>
        <v>0</v>
      </c>
      <c r="J12" s="116">
        <f t="shared" si="3"/>
        <v>0</v>
      </c>
      <c r="K12" s="116">
        <f>IF(B12=0,0,SUM($J$6:J11)-(SUM($C$6:C11)))</f>
        <v>0</v>
      </c>
      <c r="L12" s="116">
        <f t="shared" si="0"/>
        <v>0</v>
      </c>
      <c r="M12" s="103">
        <f t="shared" si="1"/>
        <v>0</v>
      </c>
      <c r="O12" s="171" t="s">
        <v>16</v>
      </c>
      <c r="P12" s="17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3" customFormat="1" ht="30" customHeight="1" x14ac:dyDescent="0.2">
      <c r="A13" s="50"/>
      <c r="B13" s="87"/>
      <c r="C13" s="114"/>
      <c r="D13" s="84">
        <f t="shared" si="2"/>
        <v>0</v>
      </c>
      <c r="E13" s="364"/>
      <c r="F13" s="365"/>
      <c r="G13" s="102"/>
      <c r="H13" s="115">
        <f>SUMIF('PoC-Antigen-Tests'!$C$15:$C$17,"&lt;="&amp;B13,'PoC-Antigen-Tests'!$I$15:$I$17)</f>
        <v>0</v>
      </c>
      <c r="I13" s="115">
        <f>SUMIF('PoC-Antigen-Tests'!$C$24:$C$43,"&lt;="&amp;B13,'PoC-Antigen-Tests'!$I$24:$I$43)</f>
        <v>0</v>
      </c>
      <c r="J13" s="116">
        <f t="shared" si="3"/>
        <v>0</v>
      </c>
      <c r="K13" s="116">
        <f>IF(B13=0,0,SUM($J$6:J12)-(SUM($C$6:C12)))</f>
        <v>0</v>
      </c>
      <c r="L13" s="116">
        <f t="shared" si="0"/>
        <v>0</v>
      </c>
      <c r="M13" s="103">
        <f t="shared" si="1"/>
        <v>0</v>
      </c>
      <c r="O13" s="174" t="s">
        <v>113</v>
      </c>
      <c r="P13" s="17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3" customFormat="1" ht="30" customHeight="1" x14ac:dyDescent="0.2">
      <c r="A14" s="50"/>
      <c r="B14" s="87"/>
      <c r="C14" s="114"/>
      <c r="D14" s="84">
        <f t="shared" si="2"/>
        <v>0</v>
      </c>
      <c r="E14" s="364"/>
      <c r="F14" s="365"/>
      <c r="G14" s="102"/>
      <c r="H14" s="115">
        <f>SUMIF('PoC-Antigen-Tests'!$C$15:$C$17,"&lt;="&amp;B14,'PoC-Antigen-Tests'!$I$15:$I$17)</f>
        <v>0</v>
      </c>
      <c r="I14" s="115">
        <f>SUMIF('PoC-Antigen-Tests'!$C$24:$C$43,"&lt;="&amp;B14,'PoC-Antigen-Tests'!$I$24:$I$43)</f>
        <v>0</v>
      </c>
      <c r="J14" s="116">
        <f t="shared" si="3"/>
        <v>0</v>
      </c>
      <c r="K14" s="116">
        <f>IF(B14=0,0,SUM($J$6:J13)-(SUM($C$6:C13)))</f>
        <v>0</v>
      </c>
      <c r="L14" s="116">
        <f t="shared" si="0"/>
        <v>0</v>
      </c>
      <c r="M14" s="103">
        <f t="shared" si="1"/>
        <v>0</v>
      </c>
      <c r="O14" s="174" t="s">
        <v>112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3" customFormat="1" ht="30" customHeight="1" x14ac:dyDescent="0.2">
      <c r="A15" s="50"/>
      <c r="B15" s="87"/>
      <c r="C15" s="114"/>
      <c r="D15" s="84">
        <f t="shared" si="2"/>
        <v>0</v>
      </c>
      <c r="E15" s="279"/>
      <c r="F15" s="279"/>
      <c r="G15" s="102"/>
      <c r="H15" s="115">
        <f>SUMIF('PoC-Antigen-Tests'!$C$15:$C$17,"&lt;="&amp;B15,'PoC-Antigen-Tests'!$I$15:$I$17)</f>
        <v>0</v>
      </c>
      <c r="I15" s="115">
        <f>SUMIF('PoC-Antigen-Tests'!$C$24:$C$43,"&lt;="&amp;B15,'PoC-Antigen-Tests'!$I$24:$I$43)</f>
        <v>0</v>
      </c>
      <c r="J15" s="116">
        <f>ROUNDUP(IF(B15&lt;&gt;0,(H15-H14)+(I15-I14),0),0)</f>
        <v>0</v>
      </c>
      <c r="K15" s="116">
        <f>IF(B15=0,0,SUM($J$6:J14)-(SUM($C$6:C14)))</f>
        <v>0</v>
      </c>
      <c r="L15" s="116">
        <f t="shared" si="0"/>
        <v>0</v>
      </c>
      <c r="M15" s="103">
        <f t="shared" si="1"/>
        <v>0</v>
      </c>
      <c r="O15" s="98"/>
      <c r="P15" s="64"/>
      <c r="Q15" s="64"/>
      <c r="R15" s="69"/>
      <c r="S15" s="70"/>
      <c r="T15" s="70"/>
      <c r="U15" s="69"/>
      <c r="V15" s="71"/>
      <c r="W15" s="72"/>
      <c r="X15" s="73"/>
      <c r="Y15" s="71"/>
      <c r="Z15" s="71"/>
      <c r="AA15" s="4"/>
      <c r="AB15" s="4"/>
      <c r="AC15" s="4"/>
      <c r="AD15" s="4"/>
      <c r="AE15" s="4"/>
      <c r="AF15" s="4"/>
      <c r="AG15" s="4"/>
    </row>
    <row r="16" spans="1:33" s="3" customFormat="1" ht="33" customHeight="1" x14ac:dyDescent="0.2">
      <c r="A16" s="50"/>
      <c r="D16" s="309">
        <f ca="1">IF(SUMIF(E6:F15,"soll mit diesem Antrag erstattet werden",C6:C15)&gt;SUM(L6:L15),0,SUMIF(E6:F15,"soll mit diesem Antrag erstattet werden",D6:D15))</f>
        <v>0</v>
      </c>
      <c r="E16" s="366" t="s">
        <v>17</v>
      </c>
      <c r="F16" s="366"/>
      <c r="G16" s="20"/>
      <c r="H16" s="101"/>
      <c r="I16" s="101"/>
      <c r="J16" s="353"/>
      <c r="K16" s="352"/>
      <c r="L16" s="101"/>
      <c r="M16" s="55"/>
    </row>
    <row r="17" spans="1:14" s="3" customFormat="1" ht="7.35" customHeight="1" x14ac:dyDescent="0.2">
      <c r="A17" s="50"/>
      <c r="B17" s="100"/>
      <c r="C17" s="100"/>
      <c r="D17" s="309"/>
      <c r="E17" s="366"/>
      <c r="F17" s="366"/>
      <c r="G17" s="20"/>
      <c r="H17" s="100"/>
      <c r="I17" s="100"/>
      <c r="J17" s="354"/>
      <c r="K17" s="352"/>
      <c r="L17" s="100"/>
      <c r="M17" s="55"/>
    </row>
    <row r="18" spans="1:14" s="3" customFormat="1" ht="7.35" customHeight="1" x14ac:dyDescent="0.25">
      <c r="A18" s="5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55"/>
      <c r="N18" s="30"/>
    </row>
    <row r="19" spans="1:14" s="3" customFormat="1" ht="7.35" customHeight="1" x14ac:dyDescent="0.2">
      <c r="A19" s="50"/>
      <c r="B19" s="5"/>
      <c r="C19" s="5"/>
      <c r="D19" s="5"/>
      <c r="E19" s="5"/>
      <c r="F19" s="5"/>
      <c r="G19" s="5"/>
      <c r="H19" s="5"/>
      <c r="I19" s="5"/>
      <c r="J19" s="5"/>
      <c r="K19" s="20"/>
      <c r="L19" s="20"/>
      <c r="M19" s="55"/>
    </row>
    <row r="20" spans="1:14" s="3" customFormat="1" ht="7.35" customHeight="1" x14ac:dyDescent="0.2">
      <c r="A20" s="50"/>
      <c r="B20" s="5"/>
      <c r="C20" s="5"/>
      <c r="D20" s="5"/>
      <c r="E20" s="5"/>
      <c r="F20" s="5"/>
      <c r="G20" s="5"/>
      <c r="H20" s="5"/>
      <c r="I20" s="5"/>
      <c r="J20" s="5"/>
      <c r="K20" s="20"/>
      <c r="L20" s="20"/>
      <c r="M20" s="55"/>
    </row>
    <row r="21" spans="1:14" s="3" customFormat="1" ht="17.100000000000001" customHeight="1" x14ac:dyDescent="0.2">
      <c r="A21" s="50"/>
      <c r="B21" s="355" t="s">
        <v>25</v>
      </c>
      <c r="C21" s="355"/>
      <c r="D21" s="355"/>
      <c r="E21" s="355"/>
      <c r="F21" s="355"/>
      <c r="G21" s="355"/>
      <c r="H21" s="355"/>
      <c r="I21" s="355"/>
      <c r="J21" s="355"/>
      <c r="K21" s="20"/>
      <c r="L21" s="20"/>
      <c r="M21" s="55"/>
    </row>
    <row r="22" spans="1:14" s="3" customFormat="1" ht="24" customHeight="1" x14ac:dyDescent="0.2">
      <c r="A22" s="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1"/>
    </row>
    <row r="23" spans="1:14" s="3" customFormat="1" ht="34.35" customHeight="1" x14ac:dyDescent="0.2">
      <c r="A23" s="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1"/>
    </row>
    <row r="24" spans="1:14" s="3" customFormat="1" ht="7.35" customHeight="1" thickBot="1" x14ac:dyDescent="0.2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1:14" s="3" customFormat="1" ht="7.35" customHeight="1" x14ac:dyDescent="0.2">
      <c r="A25" s="5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 algorithmName="SHA-512" hashValue="9nq9/cKNI1Oh1KKCOFOiz3wMCxZl1BzbPEoVFrjlv0OAlzDkmM3uFgApgC/J7RPftf+BO5DH5OPeUYn5nyR/Bw==" saltValue="tDw1TtqA0/ZUhZa0mscXhw==" spinCount="100000" sheet="1" objects="1" scenarios="1" selectLockedCells="1"/>
  <mergeCells count="28">
    <mergeCell ref="E14:F14"/>
    <mergeCell ref="E13:F13"/>
    <mergeCell ref="E12:F12"/>
    <mergeCell ref="E11:F11"/>
    <mergeCell ref="D16:D17"/>
    <mergeCell ref="E16:F17"/>
    <mergeCell ref="E15:F15"/>
    <mergeCell ref="E7:F7"/>
    <mergeCell ref="E8:F8"/>
    <mergeCell ref="E9:F9"/>
    <mergeCell ref="E4:G5"/>
    <mergeCell ref="E10:F10"/>
    <mergeCell ref="M4:M5"/>
    <mergeCell ref="A1:M1"/>
    <mergeCell ref="A2:M2"/>
    <mergeCell ref="B22:M23"/>
    <mergeCell ref="K16:K17"/>
    <mergeCell ref="J16:J17"/>
    <mergeCell ref="B21:J21"/>
    <mergeCell ref="B4:B5"/>
    <mergeCell ref="H4:H5"/>
    <mergeCell ref="I4:I5"/>
    <mergeCell ref="J4:J5"/>
    <mergeCell ref="K4:K5"/>
    <mergeCell ref="L4:L5"/>
    <mergeCell ref="C4:C5"/>
    <mergeCell ref="D4:D5"/>
    <mergeCell ref="E6:F6"/>
  </mergeCells>
  <conditionalFormatting sqref="O8:O9">
    <cfRule type="expression" dxfId="6" priority="7">
      <formula>($I$6="Angebot zur Unterstützung im Alltag")</formula>
    </cfRule>
  </conditionalFormatting>
  <conditionalFormatting sqref="E6 E7:F15">
    <cfRule type="expression" dxfId="5" priority="3">
      <formula>E6&lt;&gt;0</formula>
    </cfRule>
    <cfRule type="expression" dxfId="4" priority="4">
      <formula>D6&lt;&gt;0</formula>
    </cfRule>
  </conditionalFormatting>
  <conditionalFormatting sqref="G6:G15">
    <cfRule type="expression" dxfId="3" priority="1">
      <formula>E6="Erstattung bereits beantragt aber noch nicht ausgezahlt"</formula>
    </cfRule>
    <cfRule type="expression" dxfId="2" priority="2">
      <formula>E6="soll mit diesem Antrag erstattet werden"</formula>
    </cfRule>
    <cfRule type="expression" dxfId="1" priority="5">
      <formula>G6&lt;&gt;0</formula>
    </cfRule>
    <cfRule type="expression" dxfId="0" priority="6">
      <formula>E6="bereits erstattet am"</formula>
    </cfRule>
  </conditionalFormatting>
  <dataValidations count="2">
    <dataValidation type="custom" allowBlank="1" showInputMessage="1" showErrorMessage="1" error="Es können nicht mehr Test durchgeführt worden sein als bisher geliefert worden sind." sqref="C6:C15" xr:uid="{00000000-0002-0000-0200-000000000000}">
      <formula1>C6&lt;=L6</formula1>
    </dataValidation>
    <dataValidation type="list" allowBlank="1" showInputMessage="1" showErrorMessage="1" sqref="E6:F15" xr:uid="{00000000-0002-0000-0200-000001000000}">
      <formula1>$O$12:$O$14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PoC-Antigen-Tests</vt:lpstr>
      <vt:lpstr>Durchführungsaufwendungen</vt:lpstr>
      <vt:lpstr>Deckblatt!Druckbereich</vt:lpstr>
      <vt:lpstr>Durchführungsaufwendungen!Druckbereich</vt:lpstr>
      <vt:lpstr>'PoC-Antigen-Tests'!Druckbereich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2020-11-17T17:02:48Z</dcterms:modified>
</cp:coreProperties>
</file>